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330" windowWidth="7380" windowHeight="5100" tabRatio="786" activeTab="0"/>
  </bookViews>
  <sheets>
    <sheet name="Campaign" sheetId="1" r:id="rId1"/>
    <sheet name="Navy - Time on Station" sheetId="2" r:id="rId2"/>
    <sheet name="Marine Corps - Heavy Lift" sheetId="3" r:id="rId3"/>
    <sheet name="Army Troop Mvnt - Mission Time" sheetId="4" r:id="rId4"/>
    <sheet name="Army Air Assault - Mission Time" sheetId="5" r:id="rId5"/>
    <sheet name="Air Force CSAR" sheetId="6" r:id="rId6"/>
    <sheet name="ISR Excurstion" sheetId="7" r:id="rId7"/>
    <sheet name="Marine Corps - Heavy Lift 2021" sheetId="8" r:id="rId8"/>
    <sheet name="Army Troop Mvnt - Mission 2021" sheetId="9" r:id="rId9"/>
    <sheet name="Army Air Assault - Mission 2021" sheetId="10" r:id="rId10"/>
    <sheet name="Marine Corps - Heavy Lift 2031" sheetId="11" r:id="rId11"/>
    <sheet name="Army Troop Mvnt - Mission 2031" sheetId="12" r:id="rId12"/>
    <sheet name="Army Air Assault - Mission 2031" sheetId="13" r:id="rId13"/>
    <sheet name="Technologies" sheetId="14" r:id="rId14"/>
    <sheet name="Reference" sheetId="15" r:id="rId15"/>
  </sheets>
  <definedNames>
    <definedName name="Aircraft_Type">'Reference'!$C$2:$N$2</definedName>
    <definedName name="Combos">'Technologies'!$A$17:$A$21</definedName>
    <definedName name="Helo">'Reference'!$C$2:$P$2</definedName>
    <definedName name="Lift">'Reference'!$C$34:$C$40</definedName>
    <definedName name="Location">'Reference'!$C$24:$C$31</definedName>
    <definedName name="Technologies">'Technologies'!$A$3:$A$15</definedName>
    <definedName name="Unit">'Reference'!$C$20:$C$21</definedName>
  </definedNames>
  <calcPr fullCalcOnLoad="1"/>
</workbook>
</file>

<file path=xl/sharedStrings.xml><?xml version="1.0" encoding="utf-8"?>
<sst xmlns="http://schemas.openxmlformats.org/spreadsheetml/2006/main" count="1306" uniqueCount="177">
  <si>
    <t>Time to Refuel  (Hours)</t>
  </si>
  <si>
    <t>CSG Total per Day</t>
  </si>
  <si>
    <t>$ Expended</t>
  </si>
  <si>
    <t>Time On Station</t>
  </si>
  <si>
    <t>Time Stopped to Refuel</t>
  </si>
  <si>
    <t>Lift</t>
  </si>
  <si>
    <t>Single Lift</t>
  </si>
  <si>
    <t>Double Lift</t>
  </si>
  <si>
    <t>Lift Type Out</t>
  </si>
  <si>
    <t>Lift Type Back</t>
  </si>
  <si>
    <t>None</t>
  </si>
  <si>
    <t>Lift Speed Out</t>
  </si>
  <si>
    <t>Lift Speed Back</t>
  </si>
  <si>
    <t>Assumed Speeds Based on Lift:</t>
  </si>
  <si>
    <t>ESG Total per Day</t>
  </si>
  <si>
    <t>Expended Out</t>
  </si>
  <si>
    <t>Mission Time Out</t>
  </si>
  <si>
    <t>Expended Back</t>
  </si>
  <si>
    <t>Mission Time Back</t>
  </si>
  <si>
    <t>1 Heavy Lift Marine Corps ESG Scenario</t>
  </si>
  <si>
    <t>Lift Type</t>
  </si>
  <si>
    <t>Mission Distance (Ship to Shore)</t>
  </si>
  <si>
    <t>Per Aircraft</t>
  </si>
  <si>
    <t>Total Weight:</t>
  </si>
  <si>
    <t>Average Per Mile</t>
  </si>
  <si>
    <t>Average Per Hour</t>
  </si>
  <si>
    <t>Average Per Pound</t>
  </si>
  <si>
    <t>Total Lift</t>
  </si>
  <si>
    <t>Average $/nm</t>
  </si>
  <si>
    <t>Average $/hr</t>
  </si>
  <si>
    <t>Average $/lb</t>
  </si>
  <si>
    <t>Technologies</t>
  </si>
  <si>
    <t>Pounds Lifted</t>
  </si>
  <si>
    <t>RGR (Refuel)</t>
  </si>
  <si>
    <t>PAX</t>
  </si>
  <si>
    <t>Admin</t>
  </si>
  <si>
    <t>1 Army Troop Movement Scenario (with mission refueling)</t>
  </si>
  <si>
    <t>Lift Weight:</t>
  </si>
  <si>
    <t>Mission Distance (Troop Move)</t>
  </si>
  <si>
    <t>6 Litters</t>
  </si>
  <si>
    <t>PAX Lifted</t>
  </si>
  <si>
    <t>Army</t>
  </si>
  <si>
    <t>Marine Corps</t>
  </si>
  <si>
    <t>Navy</t>
  </si>
  <si>
    <t>C2</t>
  </si>
  <si>
    <t>HH-60G</t>
  </si>
  <si>
    <t xml:space="preserve">Fuel Consumption Saving </t>
  </si>
  <si>
    <t>Cost per Gallon</t>
  </si>
  <si>
    <t>Hybird Diesel-Electric Propulsion System</t>
  </si>
  <si>
    <t>Optimum Rotor Speed w/ Tilt Rotor</t>
  </si>
  <si>
    <t>Composite</t>
  </si>
  <si>
    <t>Algal Biofuel</t>
  </si>
  <si>
    <t>Time On Station (hrs)</t>
  </si>
  <si>
    <t>UH-60 C2</t>
  </si>
  <si>
    <t>Campaign</t>
  </si>
  <si>
    <t>D+0</t>
  </si>
  <si>
    <t>D+1</t>
  </si>
  <si>
    <t>D+2</t>
  </si>
  <si>
    <t>D+3</t>
  </si>
  <si>
    <t>D+4</t>
  </si>
  <si>
    <t>D+5</t>
  </si>
  <si>
    <t>D+6</t>
  </si>
  <si>
    <t>D+7</t>
  </si>
  <si>
    <t>D+8</t>
  </si>
  <si>
    <t>D+9</t>
  </si>
  <si>
    <t>D+10</t>
  </si>
  <si>
    <t>D+11</t>
  </si>
  <si>
    <t>D+12</t>
  </si>
  <si>
    <t>D+13</t>
  </si>
  <si>
    <t>D+14</t>
  </si>
  <si>
    <t>D+15</t>
  </si>
  <si>
    <t>D+16</t>
  </si>
  <si>
    <t>D+17</t>
  </si>
  <si>
    <t>D+18</t>
  </si>
  <si>
    <t>D+19</t>
  </si>
  <si>
    <t>D+20</t>
  </si>
  <si>
    <t>Army Mvmt</t>
  </si>
  <si>
    <t>Army Air Assault</t>
  </si>
  <si>
    <t>Air Force CSAR</t>
  </si>
  <si>
    <t>Cost Per Gallon</t>
  </si>
  <si>
    <t>Baseline</t>
  </si>
  <si>
    <t>Technology</t>
  </si>
  <si>
    <t>MH-60R</t>
  </si>
  <si>
    <t>CH-53E</t>
  </si>
  <si>
    <t>CH-53K</t>
  </si>
  <si>
    <t>UH-60L</t>
  </si>
  <si>
    <t>UH-60</t>
  </si>
  <si>
    <t>Purpose</t>
  </si>
  <si>
    <t>ASW</t>
  </si>
  <si>
    <t>Heavy Lift</t>
  </si>
  <si>
    <t>Movement/Assault</t>
  </si>
  <si>
    <t>MedVac</t>
  </si>
  <si>
    <t>Air Force</t>
  </si>
  <si>
    <t>Combat Search and Rescue</t>
  </si>
  <si>
    <t>Airframe Weight</t>
  </si>
  <si>
    <t>Max Lift Capacity</t>
  </si>
  <si>
    <t>Cruise Speed kts</t>
  </si>
  <si>
    <t>Average Fuel Burn (lbs/hr)</t>
  </si>
  <si>
    <t>lbs per gallon</t>
  </si>
  <si>
    <t>Hover Mix</t>
  </si>
  <si>
    <t>Fuel Tank Capacity (lbs)</t>
  </si>
  <si>
    <t>UH-60A</t>
  </si>
  <si>
    <t>UH-60M</t>
  </si>
  <si>
    <t>Troop Capacity</t>
  </si>
  <si>
    <t>Assumed Altitude</t>
  </si>
  <si>
    <t>Sea Level</t>
  </si>
  <si>
    <t>Max Endurance (hrs)</t>
  </si>
  <si>
    <t>Max Range (nm)</t>
  </si>
  <si>
    <t>Aircraft Type</t>
  </si>
  <si>
    <t>Characteristics:</t>
  </si>
  <si>
    <t>Total Expended</t>
  </si>
  <si>
    <t>Unit</t>
  </si>
  <si>
    <t>Per Mile</t>
  </si>
  <si>
    <t>Per Hour</t>
  </si>
  <si>
    <t>Per Pound</t>
  </si>
  <si>
    <t>Total Cost</t>
  </si>
  <si>
    <t>$/nm</t>
  </si>
  <si>
    <t>$/hr</t>
  </si>
  <si>
    <t>$/lb</t>
  </si>
  <si>
    <t>Mission Time</t>
  </si>
  <si>
    <t>Max Hours per Aircraft</t>
  </si>
  <si>
    <t>Gallons</t>
  </si>
  <si>
    <t>Pounds</t>
  </si>
  <si>
    <t>Number of Aircraft</t>
  </si>
  <si>
    <t>Location of Aircraft</t>
  </si>
  <si>
    <t>Location</t>
  </si>
  <si>
    <t>CSG - CVN</t>
  </si>
  <si>
    <t>CSG - CRUDES</t>
  </si>
  <si>
    <t>LCS</t>
  </si>
  <si>
    <t>ESG - LHA</t>
  </si>
  <si>
    <t>ESG - LHAR</t>
  </si>
  <si>
    <t>ESG - LHD</t>
  </si>
  <si>
    <t>Battalion</t>
  </si>
  <si>
    <t>U.S. Air Force</t>
  </si>
  <si>
    <t>Max Hours per Platform</t>
  </si>
  <si>
    <t>Fuel Reserve</t>
  </si>
  <si>
    <t>1 Day CSG ASW Scenario</t>
  </si>
  <si>
    <t>Cost Gallon</t>
  </si>
  <si>
    <t>Time Mission Stop for Refueling</t>
  </si>
  <si>
    <t>Technology Combinations Applicable to Removing Tail Rotor Driveshaft</t>
  </si>
  <si>
    <t>Pair Helos Conduct CSAR Missions</t>
  </si>
  <si>
    <t>A160T Hummingbird</t>
  </si>
  <si>
    <t>ISR</t>
  </si>
  <si>
    <t>Alternate Technologie</t>
  </si>
  <si>
    <t>Algal Biofuel + Composite</t>
  </si>
  <si>
    <t>ORS/TR + Algal Biofuel</t>
  </si>
  <si>
    <t>HDE/PS + Composite</t>
  </si>
  <si>
    <t>CH-53E</t>
  </si>
  <si>
    <t>CH-53K</t>
  </si>
  <si>
    <t>UH-60</t>
  </si>
  <si>
    <t>MH-60</t>
  </si>
  <si>
    <t>Algal Biofuel - Driveshaft</t>
  </si>
  <si>
    <t>Composite - Driveshaft</t>
  </si>
  <si>
    <t>ORS/TR - Driveshaft</t>
  </si>
  <si>
    <t>Algal Biofuel + Composite - Driveshaft</t>
  </si>
  <si>
    <t>ORS/TR + Algal Biofuel - Driveshaft</t>
  </si>
  <si>
    <t>1 Day ISR</t>
  </si>
  <si>
    <t>UH-60C</t>
  </si>
  <si>
    <t>Max Hours per Day</t>
  </si>
  <si>
    <t>N/A</t>
  </si>
  <si>
    <t>High</t>
  </si>
  <si>
    <t>Low</t>
  </si>
  <si>
    <t>n/a</t>
  </si>
  <si>
    <t>Timeframe</t>
  </si>
  <si>
    <t>Error</t>
  </si>
  <si>
    <t>Above Technology and the Removal of the Driveshaft</t>
  </si>
  <si>
    <t>savings</t>
  </si>
  <si>
    <t>(1-savings)</t>
  </si>
  <si>
    <t>Cumulative Totals</t>
  </si>
  <si>
    <t>Cost vs. Expenditure</t>
  </si>
  <si>
    <t>Combined w/ Removal of Driveshaft</t>
  </si>
  <si>
    <t>lbs</t>
  </si>
  <si>
    <t>cost</t>
  </si>
  <si>
    <t>Mission Distance (roundtrip)</t>
  </si>
  <si>
    <t>People Moved</t>
  </si>
  <si>
    <t>Mission Distance (one-way)</t>
  </si>
  <si>
    <t>Time Stopped to Refuel total for all aircraft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</si>
</sst>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"/>
    <numFmt numFmtId="167" formatCode="&quot;$&quot;#,##0.00"/>
    <numFmt numFmtId="168" formatCode="0.00000%"/>
    <numFmt numFmtId="169" formatCode="0.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\$#,##0"/>
    <numFmt numFmtId="175" formatCode="\$#,##0_);[Red]\(\$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9"/>
      <name val="Calibri"/>
      <family val="2"/>
    </font>
    <font>
      <sz val="9"/>
      <color indexed="8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26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5.25"/>
      <color indexed="8"/>
      <name val="Arial"/>
      <family val="2"/>
    </font>
    <font>
      <sz val="8.25"/>
      <color indexed="8"/>
      <name val="Arial"/>
      <family val="2"/>
    </font>
    <font>
      <sz val="10.5"/>
      <color indexed="8"/>
      <name val="Arial"/>
      <family val="2"/>
    </font>
    <font>
      <sz val="10.75"/>
      <color indexed="8"/>
      <name val="Arial"/>
      <family val="2"/>
    </font>
    <font>
      <sz val="10.25"/>
      <color indexed="8"/>
      <name val="Arial"/>
      <family val="2"/>
    </font>
    <font>
      <sz val="9.25"/>
      <color indexed="8"/>
      <name val="Arial"/>
      <family val="2"/>
    </font>
    <font>
      <sz val="6.5"/>
      <color indexed="8"/>
      <name val="Calibri"/>
      <family val="2"/>
    </font>
    <font>
      <sz val="7.8"/>
      <color indexed="8"/>
      <name val="Arial"/>
      <family val="2"/>
    </font>
    <font>
      <sz val="6.85"/>
      <color indexed="8"/>
      <name val="Arial"/>
      <family val="2"/>
    </font>
    <font>
      <sz val="6.95"/>
      <color indexed="8"/>
      <name val="Arial"/>
      <family val="2"/>
    </font>
    <font>
      <sz val="6.65"/>
      <color indexed="8"/>
      <name val="Arial"/>
      <family val="2"/>
    </font>
    <font>
      <sz val="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7.5"/>
      <color indexed="8"/>
      <name val="Arial"/>
      <family val="2"/>
    </font>
    <font>
      <b/>
      <sz val="18"/>
      <color indexed="8"/>
      <name val="Arial"/>
      <family val="2"/>
    </font>
    <font>
      <b/>
      <sz val="17.25"/>
      <color indexed="8"/>
      <name val="Arial"/>
      <family val="2"/>
    </font>
    <font>
      <b/>
      <sz val="15.2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61" fillId="0" borderId="0">
      <alignment/>
      <protection/>
    </xf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2" fontId="0" fillId="32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65" fontId="3" fillId="33" borderId="0" xfId="0" applyNumberFormat="1" applyFont="1" applyFill="1" applyAlignment="1">
      <alignment horizontal="center"/>
    </xf>
    <xf numFmtId="165" fontId="0" fillId="33" borderId="0" xfId="0" applyNumberFormat="1" applyFill="1" applyAlignment="1">
      <alignment/>
    </xf>
    <xf numFmtId="166" fontId="3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35" borderId="0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7" xfId="0" applyFill="1" applyBorder="1" applyAlignment="1">
      <alignment horizontal="center" vertical="center"/>
    </xf>
    <xf numFmtId="165" fontId="3" fillId="36" borderId="0" xfId="0" applyNumberFormat="1" applyFont="1" applyFill="1" applyBorder="1" applyAlignment="1">
      <alignment horizontal="center"/>
    </xf>
    <xf numFmtId="0" fontId="0" fillId="36" borderId="16" xfId="0" applyFill="1" applyBorder="1" applyAlignment="1">
      <alignment horizontal="right"/>
    </xf>
    <xf numFmtId="0" fontId="3" fillId="36" borderId="0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165" fontId="3" fillId="36" borderId="19" xfId="0" applyNumberFormat="1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167" fontId="3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3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3" fillId="0" borderId="0" xfId="0" applyNumberFormat="1" applyFont="1" applyAlignment="1">
      <alignment horizontal="center"/>
    </xf>
    <xf numFmtId="0" fontId="0" fillId="32" borderId="10" xfId="0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61" fillId="0" borderId="0" xfId="55">
      <alignment/>
      <protection/>
    </xf>
    <xf numFmtId="0" fontId="0" fillId="37" borderId="0" xfId="0" applyFill="1" applyAlignment="1">
      <alignment horizontal="center"/>
    </xf>
    <xf numFmtId="2" fontId="0" fillId="37" borderId="0" xfId="0" applyNumberFormat="1" applyFill="1" applyAlignment="1">
      <alignment horizontal="center"/>
    </xf>
    <xf numFmtId="1" fontId="0" fillId="37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10" fontId="0" fillId="0" borderId="0" xfId="0" applyNumberFormat="1" applyAlignment="1">
      <alignment horizontal="center" wrapText="1"/>
    </xf>
    <xf numFmtId="168" fontId="0" fillId="0" borderId="0" xfId="0" applyNumberFormat="1" applyAlignment="1">
      <alignment horizontal="center" wrapText="1"/>
    </xf>
    <xf numFmtId="0" fontId="0" fillId="32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61" fillId="0" borderId="0" xfId="55" applyAlignment="1">
      <alignment horizontal="center" wrapText="1"/>
      <protection/>
    </xf>
    <xf numFmtId="0" fontId="7" fillId="0" borderId="0" xfId="55" applyFont="1" applyAlignment="1">
      <alignment horizontal="center" wrapText="1"/>
      <protection/>
    </xf>
    <xf numFmtId="10" fontId="0" fillId="0" borderId="0" xfId="0" applyNumberFormat="1" applyAlignment="1">
      <alignment horizontal="center"/>
    </xf>
    <xf numFmtId="0" fontId="61" fillId="0" borderId="0" xfId="55" applyAlignment="1">
      <alignment horizontal="center"/>
      <protection/>
    </xf>
    <xf numFmtId="0" fontId="7" fillId="0" borderId="0" xfId="55" applyFont="1" applyFill="1" applyAlignment="1">
      <alignment horizontal="center" wrapText="1"/>
      <protection/>
    </xf>
    <xf numFmtId="0" fontId="61" fillId="0" borderId="0" xfId="55" applyFill="1">
      <alignment/>
      <protection/>
    </xf>
    <xf numFmtId="0" fontId="7" fillId="0" borderId="0" xfId="55" applyFont="1" applyFill="1">
      <alignment/>
      <protection/>
    </xf>
    <xf numFmtId="0" fontId="9" fillId="0" borderId="0" xfId="0" applyFont="1" applyAlignment="1">
      <alignment/>
    </xf>
    <xf numFmtId="0" fontId="0" fillId="38" borderId="1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0" xfId="0" applyFill="1" applyAlignment="1">
      <alignment wrapText="1"/>
    </xf>
    <xf numFmtId="0" fontId="3" fillId="38" borderId="11" xfId="0" applyFont="1" applyFill="1" applyBorder="1" applyAlignment="1">
      <alignment horizontal="center"/>
    </xf>
    <xf numFmtId="164" fontId="3" fillId="38" borderId="11" xfId="0" applyNumberFormat="1" applyFont="1" applyFill="1" applyBorder="1" applyAlignment="1">
      <alignment horizontal="center"/>
    </xf>
    <xf numFmtId="9" fontId="3" fillId="38" borderId="11" xfId="0" applyNumberFormat="1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0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9" borderId="0" xfId="0" applyFont="1" applyFill="1" applyAlignment="1">
      <alignment horizontal="center"/>
    </xf>
    <xf numFmtId="0" fontId="12" fillId="38" borderId="13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Expended (lbs)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4625"/>
          <c:w val="0.9907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Campaign!$B$11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Campaign!$C$4:$W$4</c:f>
              <c:strCache/>
            </c:strRef>
          </c:xVal>
          <c:yVal>
            <c:numRef>
              <c:f>Campaign!$C$11:$W$11</c:f>
              <c:numCache/>
            </c:numRef>
          </c:yVal>
          <c:smooth val="1"/>
        </c:ser>
        <c:ser>
          <c:idx val="1"/>
          <c:order val="1"/>
          <c:tx>
            <c:strRef>
              <c:f>Campaign!$B$26</c:f>
              <c:strCache>
                <c:ptCount val="1"/>
                <c:pt idx="0">
                  <c:v>Optimum Rotor Speed w/ Tilt Rotor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Campaign!$C$4:$W$4</c:f>
              <c:strCache/>
            </c:strRef>
          </c:xVal>
          <c:yVal>
            <c:numRef>
              <c:f>Campaign!$C$26:$W$26</c:f>
              <c:numCache/>
            </c:numRef>
          </c:yVal>
          <c:smooth val="1"/>
        </c:ser>
        <c:axId val="45607874"/>
        <c:axId val="7817683"/>
      </c:scatterChart>
      <c:valAx>
        <c:axId val="45607874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17683"/>
        <c:crosses val="autoZero"/>
        <c:crossBetween val="midCat"/>
        <c:dispUnits/>
      </c:valAx>
      <c:valAx>
        <c:axId val="7817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078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75"/>
          <c:y val="0.21325"/>
          <c:w val="0.4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225"/>
          <c:w val="0.9615"/>
          <c:h val="0.78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'ISR Excurstion'!$J$33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'ISR Excurstion'!$K$33</c:f>
              <c:numCache/>
            </c:numRef>
          </c:xVal>
          <c:yVal>
            <c:numRef>
              <c:f>'ISR Excurstion'!$L$33</c:f>
              <c:numCache/>
            </c:numRef>
          </c:yVal>
          <c:smooth val="0"/>
        </c:ser>
        <c:ser>
          <c:idx val="1"/>
          <c:order val="1"/>
          <c:tx>
            <c:strRef>
              <c:f>'ISR Excurstion'!$J$34</c:f>
              <c:strCache>
                <c:ptCount val="1"/>
                <c:pt idx="0">
                  <c:v>Algal Biofuel + 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'ISR Excurstion'!$K$34</c:f>
              <c:numCache/>
            </c:numRef>
          </c:xVal>
          <c:yVal>
            <c:numRef>
              <c:f>'ISR Excurstion'!$L$34</c:f>
              <c:numCache/>
            </c:numRef>
          </c:yVal>
          <c:smooth val="0"/>
        </c:ser>
        <c:ser>
          <c:idx val="2"/>
          <c:order val="2"/>
          <c:tx>
            <c:strRef>
              <c:f>'ISR Excurstion'!$J$35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'ISR Excurstion'!$K$35</c:f>
              <c:numCache/>
            </c:numRef>
          </c:xVal>
          <c:yVal>
            <c:numRef>
              <c:f>'ISR Excurstion'!$L$35</c:f>
              <c:numCache/>
            </c:numRef>
          </c:yVal>
          <c:smooth val="0"/>
        </c:ser>
        <c:axId val="13876796"/>
        <c:axId val="57782301"/>
      </c:scatterChart>
      <c:valAx>
        <c:axId val="1387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782301"/>
        <c:crosses val="autoZero"/>
        <c:crossBetween val="midCat"/>
        <c:dispUnits/>
      </c:valAx>
      <c:valAx>
        <c:axId val="57782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8767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25"/>
          <c:y val="0.916"/>
          <c:w val="0.863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75"/>
          <c:w val="0.95475"/>
          <c:h val="0.7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'Marine Corps - Heavy Lift 2021'!$M$63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'Marine Corps - Heavy Lift 2021'!$N$63</c:f>
              <c:numCache/>
            </c:numRef>
          </c:xVal>
          <c:yVal>
            <c:numRef>
              <c:f>'Marine Corps - Heavy Lift 2021'!$O$63</c:f>
              <c:numCache/>
            </c:numRef>
          </c:yVal>
          <c:smooth val="0"/>
        </c:ser>
        <c:ser>
          <c:idx val="1"/>
          <c:order val="1"/>
          <c:tx>
            <c:strRef>
              <c:f>'Marine Corps - Heavy Lift 2021'!$M$64</c:f>
              <c:strCache>
                <c:ptCount val="1"/>
                <c:pt idx="0">
                  <c:v>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'Marine Corps - Heavy Lift 2021'!$N$64</c:f>
              <c:numCache/>
            </c:numRef>
          </c:xVal>
          <c:yVal>
            <c:numRef>
              <c:f>'Marine Corps - Heavy Lift 2021'!$O$64</c:f>
              <c:numCache/>
            </c:numRef>
          </c:yVal>
          <c:smooth val="0"/>
        </c:ser>
        <c:ser>
          <c:idx val="2"/>
          <c:order val="2"/>
          <c:tx>
            <c:strRef>
              <c:f>'Marine Corps - Heavy Lift 2021'!$M$65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'Marine Corps - Heavy Lift 2021'!$N$65</c:f>
              <c:numCache/>
            </c:numRef>
          </c:xVal>
          <c:yVal>
            <c:numRef>
              <c:f>'Marine Corps - Heavy Lift 2021'!$O$65</c:f>
              <c:numCache/>
            </c:numRef>
          </c:yVal>
          <c:smooth val="0"/>
        </c:ser>
        <c:axId val="50278662"/>
        <c:axId val="49854775"/>
      </c:scatterChart>
      <c:valAx>
        <c:axId val="502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854775"/>
        <c:crosses val="autoZero"/>
        <c:crossBetween val="midCat"/>
        <c:dispUnits/>
      </c:valAx>
      <c:valAx>
        <c:axId val="49854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278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9095"/>
          <c:w val="0.6702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15"/>
          <c:w val="0.9655"/>
          <c:h val="0.7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'Army Troop Mvnt - Mission 2021'!$M$59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'Army Troop Mvnt - Mission 2021'!$N$59</c:f>
              <c:numCache/>
            </c:numRef>
          </c:xVal>
          <c:yVal>
            <c:numRef>
              <c:f>'Army Troop Mvnt - Mission 2021'!$O$59</c:f>
              <c:numCache/>
            </c:numRef>
          </c:yVal>
          <c:smooth val="0"/>
        </c:ser>
        <c:ser>
          <c:idx val="1"/>
          <c:order val="1"/>
          <c:tx>
            <c:strRef>
              <c:f>'Army Troop Mvnt - Mission 2021'!$M$60</c:f>
              <c:strCache>
                <c:ptCount val="1"/>
                <c:pt idx="0">
                  <c:v>Algal Biofuel + 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'Army Troop Mvnt - Mission 2021'!$N$60</c:f>
              <c:numCache/>
            </c:numRef>
          </c:xVal>
          <c:yVal>
            <c:numRef>
              <c:f>'Army Troop Mvnt - Mission 2021'!$O$60</c:f>
              <c:numCache/>
            </c:numRef>
          </c:yVal>
          <c:smooth val="0"/>
        </c:ser>
        <c:ser>
          <c:idx val="2"/>
          <c:order val="2"/>
          <c:tx>
            <c:strRef>
              <c:f>'Army Troop Mvnt - Mission 2021'!$M$61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'Army Troop Mvnt - Mission 2021'!$N$61</c:f>
              <c:numCache/>
            </c:numRef>
          </c:xVal>
          <c:yVal>
            <c:numRef>
              <c:f>'Army Troop Mvnt - Mission 2021'!$O$61</c:f>
              <c:numCache/>
            </c:numRef>
          </c:yVal>
          <c:smooth val="0"/>
        </c:ser>
        <c:axId val="46039792"/>
        <c:axId val="11704945"/>
      </c:scatterChart>
      <c:valAx>
        <c:axId val="4603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704945"/>
        <c:crosses val="autoZero"/>
        <c:crossBetween val="midCat"/>
        <c:dispUnits/>
      </c:valAx>
      <c:valAx>
        <c:axId val="11704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039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25"/>
          <c:y val="0.919"/>
          <c:w val="0.858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2775"/>
          <c:w val="0.965"/>
          <c:h val="0.7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'Army Air Assault - Mission 2021'!$M$57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'Army Air Assault - Mission 2021'!$N$57</c:f>
              <c:numCache/>
            </c:numRef>
          </c:xVal>
          <c:yVal>
            <c:numRef>
              <c:f>'Army Air Assault - Mission 2021'!$O$57</c:f>
              <c:numCache/>
            </c:numRef>
          </c:yVal>
          <c:smooth val="0"/>
        </c:ser>
        <c:ser>
          <c:idx val="1"/>
          <c:order val="1"/>
          <c:tx>
            <c:strRef>
              <c:f>'Army Air Assault - Mission 2021'!$M$58</c:f>
              <c:strCache>
                <c:ptCount val="1"/>
                <c:pt idx="0">
                  <c:v>Algal Biofuel + 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'Army Air Assault - Mission 2021'!$N$58</c:f>
              <c:numCache/>
            </c:numRef>
          </c:xVal>
          <c:yVal>
            <c:numRef>
              <c:f>'Army Air Assault - Mission 2021'!$O$58</c:f>
              <c:numCache/>
            </c:numRef>
          </c:yVal>
          <c:smooth val="0"/>
        </c:ser>
        <c:ser>
          <c:idx val="2"/>
          <c:order val="2"/>
          <c:tx>
            <c:strRef>
              <c:f>'Army Air Assault - Mission 2021'!$M$59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'Army Air Assault - Mission 2021'!$N$59</c:f>
              <c:numCache/>
            </c:numRef>
          </c:xVal>
          <c:yVal>
            <c:numRef>
              <c:f>'Army Air Assault - Mission 2021'!$O$59</c:f>
              <c:numCache/>
            </c:numRef>
          </c:yVal>
          <c:smooth val="0"/>
        </c:ser>
        <c:axId val="38235642"/>
        <c:axId val="8576459"/>
      </c:scatterChart>
      <c:valAx>
        <c:axId val="3823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8576459"/>
        <c:crosses val="autoZero"/>
        <c:crossBetween val="midCat"/>
        <c:dispUnits/>
      </c:valAx>
      <c:valAx>
        <c:axId val="8576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82356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9215"/>
          <c:w val="0.833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75"/>
          <c:w val="0.95475"/>
          <c:h val="0.7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'Marine Corps - Heavy Lift 2031'!$M$63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'Marine Corps - Heavy Lift 2031'!$N$63</c:f>
              <c:numCache/>
            </c:numRef>
          </c:xVal>
          <c:yVal>
            <c:numRef>
              <c:f>'Marine Corps - Heavy Lift 2031'!$O$63</c:f>
              <c:numCache/>
            </c:numRef>
          </c:yVal>
          <c:smooth val="0"/>
        </c:ser>
        <c:ser>
          <c:idx val="1"/>
          <c:order val="1"/>
          <c:tx>
            <c:strRef>
              <c:f>'Marine Corps - Heavy Lift 2031'!$M$64</c:f>
              <c:strCache>
                <c:ptCount val="1"/>
                <c:pt idx="0">
                  <c:v>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'Marine Corps - Heavy Lift 2031'!$N$64</c:f>
              <c:numCache/>
            </c:numRef>
          </c:xVal>
          <c:yVal>
            <c:numRef>
              <c:f>'Marine Corps - Heavy Lift 2031'!$O$64</c:f>
              <c:numCache/>
            </c:numRef>
          </c:yVal>
          <c:smooth val="0"/>
        </c:ser>
        <c:ser>
          <c:idx val="2"/>
          <c:order val="2"/>
          <c:tx>
            <c:strRef>
              <c:f>'Marine Corps - Heavy Lift 2031'!$M$65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'Marine Corps - Heavy Lift 2031'!$N$65</c:f>
              <c:numCache/>
            </c:numRef>
          </c:xVal>
          <c:yVal>
            <c:numRef>
              <c:f>'Marine Corps - Heavy Lift 2031'!$O$65</c:f>
              <c:numCache/>
            </c:numRef>
          </c:yVal>
          <c:smooth val="0"/>
        </c:ser>
        <c:axId val="10079268"/>
        <c:axId val="23604549"/>
      </c:scatterChart>
      <c:valAx>
        <c:axId val="100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604549"/>
        <c:crosses val="autoZero"/>
        <c:crossBetween val="midCat"/>
        <c:dispUnits/>
      </c:valAx>
      <c:valAx>
        <c:axId val="2360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0792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9095"/>
          <c:w val="0.6702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15"/>
          <c:w val="0.9655"/>
          <c:h val="0.7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'Army Troop Mvnt - Mission 2031'!$M$59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'Army Troop Mvnt - Mission 2031'!$N$59</c:f>
              <c:numCache/>
            </c:numRef>
          </c:xVal>
          <c:yVal>
            <c:numRef>
              <c:f>'Army Troop Mvnt - Mission 2031'!$O$59</c:f>
              <c:numCache/>
            </c:numRef>
          </c:yVal>
          <c:smooth val="0"/>
        </c:ser>
        <c:ser>
          <c:idx val="1"/>
          <c:order val="1"/>
          <c:tx>
            <c:strRef>
              <c:f>'Army Troop Mvnt - Mission 2031'!$M$60</c:f>
              <c:strCache>
                <c:ptCount val="1"/>
                <c:pt idx="0">
                  <c:v>Algal Biofuel + 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'Army Troop Mvnt - Mission 2031'!$N$60</c:f>
              <c:numCache/>
            </c:numRef>
          </c:xVal>
          <c:yVal>
            <c:numRef>
              <c:f>'Army Troop Mvnt - Mission 2031'!$O$60</c:f>
              <c:numCache/>
            </c:numRef>
          </c:yVal>
          <c:smooth val="0"/>
        </c:ser>
        <c:ser>
          <c:idx val="2"/>
          <c:order val="2"/>
          <c:tx>
            <c:strRef>
              <c:f>'Army Troop Mvnt - Mission 2031'!$M$61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'Army Troop Mvnt - Mission 2031'!$N$61</c:f>
              <c:numCache/>
            </c:numRef>
          </c:xVal>
          <c:yVal>
            <c:numRef>
              <c:f>'Army Troop Mvnt - Mission 2031'!$O$61</c:f>
              <c:numCache/>
            </c:numRef>
          </c:yVal>
          <c:smooth val="0"/>
        </c:ser>
        <c:axId val="11114350"/>
        <c:axId val="32920287"/>
      </c:scatterChart>
      <c:valAx>
        <c:axId val="1111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920287"/>
        <c:crosses val="autoZero"/>
        <c:crossBetween val="midCat"/>
        <c:dispUnits/>
      </c:valAx>
      <c:valAx>
        <c:axId val="32920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114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25"/>
          <c:y val="0.919"/>
          <c:w val="0.858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2775"/>
          <c:w val="0.965"/>
          <c:h val="0.7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'Army Air Assault - Mission 2031'!$M$57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'Army Air Assault - Mission 2031'!$N$57</c:f>
              <c:numCache/>
            </c:numRef>
          </c:xVal>
          <c:yVal>
            <c:numRef>
              <c:f>'Army Air Assault - Mission 2031'!$O$57</c:f>
              <c:numCache/>
            </c:numRef>
          </c:yVal>
          <c:smooth val="0"/>
        </c:ser>
        <c:ser>
          <c:idx val="1"/>
          <c:order val="1"/>
          <c:tx>
            <c:strRef>
              <c:f>'Army Air Assault - Mission 2031'!$M$58</c:f>
              <c:strCache>
                <c:ptCount val="1"/>
                <c:pt idx="0">
                  <c:v>Algal Biofuel + 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'Army Air Assault - Mission 2031'!$N$58</c:f>
              <c:numCache/>
            </c:numRef>
          </c:xVal>
          <c:yVal>
            <c:numRef>
              <c:f>'Army Air Assault - Mission 2031'!$O$58</c:f>
              <c:numCache/>
            </c:numRef>
          </c:yVal>
          <c:smooth val="0"/>
        </c:ser>
        <c:ser>
          <c:idx val="2"/>
          <c:order val="2"/>
          <c:tx>
            <c:strRef>
              <c:f>'Army Air Assault - Mission 2031'!$M$59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'Army Air Assault - Mission 2031'!$N$59</c:f>
              <c:numCache/>
            </c:numRef>
          </c:xVal>
          <c:yVal>
            <c:numRef>
              <c:f>'Army Air Assault - Mission 2031'!$O$59</c:f>
              <c:numCache/>
            </c:numRef>
          </c:yVal>
          <c:smooth val="0"/>
        </c:ser>
        <c:axId val="27847128"/>
        <c:axId val="49297561"/>
      </c:scatterChart>
      <c:val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9297561"/>
        <c:crosses val="autoZero"/>
        <c:crossBetween val="midCat"/>
        <c:dispUnits/>
      </c:valAx>
      <c:valAx>
        <c:axId val="49297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7847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9215"/>
          <c:w val="0.833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Cost (FY$10)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5"/>
          <c:y val="0.15075"/>
          <c:w val="0.9965"/>
          <c:h val="0.8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Campaign!$B$12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Campaign!$C$4:$W$4</c:f>
              <c:strCache/>
            </c:strRef>
          </c:xVal>
          <c:yVal>
            <c:numRef>
              <c:f>Campaign!$C$12:$W$12</c:f>
              <c:numCache/>
            </c:numRef>
          </c:yVal>
          <c:smooth val="1"/>
        </c:ser>
        <c:ser>
          <c:idx val="1"/>
          <c:order val="1"/>
          <c:tx>
            <c:strRef>
              <c:f>Campaign!$B$27</c:f>
              <c:strCache>
                <c:ptCount val="1"/>
                <c:pt idx="0">
                  <c:v>Optimum Rotor Speed w/ Tilt Rotor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Campaign!$C$4:$W$4</c:f>
              <c:strCache/>
            </c:strRef>
          </c:xVal>
          <c:yVal>
            <c:numRef>
              <c:f>Campaign!$C$27:$W$27</c:f>
              <c:numCache/>
            </c:numRef>
          </c:yVal>
          <c:smooth val="1"/>
        </c:ser>
        <c:axId val="3250284"/>
        <c:axId val="29252557"/>
      </c:scatterChart>
      <c:val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2557"/>
        <c:crosses val="autoZero"/>
        <c:crossBetween val="midCat"/>
        <c:dispUnits/>
      </c:valAx>
      <c:valAx>
        <c:axId val="29252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"/>
          <c:y val="0.19625"/>
          <c:w val="0.3567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Expended (lbs)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46"/>
          <c:w val="0.991"/>
          <c:h val="0.8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Campaign!$B$11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Campaign!$C$4:$W$4</c:f>
              <c:strCache/>
            </c:strRef>
          </c:xVal>
          <c:yVal>
            <c:numRef>
              <c:f>Campaign!$C$11:$W$11</c:f>
              <c:numCache/>
            </c:numRef>
          </c:yVal>
          <c:smooth val="1"/>
        </c:ser>
        <c:ser>
          <c:idx val="1"/>
          <c:order val="1"/>
          <c:tx>
            <c:strRef>
              <c:f>Campaign!$B$26</c:f>
              <c:strCache>
                <c:ptCount val="1"/>
                <c:pt idx="0">
                  <c:v>Optimum Rotor Speed w/ Tilt Rotor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Campaign!$C$4:$W$4</c:f>
              <c:strCache/>
            </c:strRef>
          </c:xVal>
          <c:yVal>
            <c:numRef>
              <c:f>Campaign!$C$26:$W$26</c:f>
              <c:numCache/>
            </c:numRef>
          </c:yVal>
          <c:smooth val="1"/>
        </c:ser>
        <c:ser>
          <c:idx val="2"/>
          <c:order val="2"/>
          <c:tx>
            <c:strRef>
              <c:f>Campaign!$B$58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Campaign!$C$4:$W$4</c:f>
              <c:strCache/>
            </c:strRef>
          </c:xVal>
          <c:yVal>
            <c:numRef>
              <c:f>Campaign!$C$58:$W$58</c:f>
              <c:numCache/>
            </c:numRef>
          </c:yVal>
          <c:smooth val="1"/>
        </c:ser>
        <c:axId val="61946422"/>
        <c:axId val="20646887"/>
      </c:scatterChart>
      <c:valAx>
        <c:axId val="61946422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6887"/>
        <c:crosses val="autoZero"/>
        <c:crossBetween val="midCat"/>
        <c:dispUnits/>
      </c:valAx>
      <c:valAx>
        <c:axId val="20646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64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325"/>
          <c:y val="0.185"/>
          <c:w val="0.5612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Cost (FY$10)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5"/>
          <c:y val="0.15075"/>
          <c:w val="0.99625"/>
          <c:h val="0.8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Campaign!$B$12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Campaign!$C$4:$W$4</c:f>
              <c:strCache/>
            </c:strRef>
          </c:xVal>
          <c:yVal>
            <c:numRef>
              <c:f>Campaign!$C$12:$W$12</c:f>
              <c:numCache/>
            </c:numRef>
          </c:yVal>
          <c:smooth val="1"/>
        </c:ser>
        <c:ser>
          <c:idx val="1"/>
          <c:order val="1"/>
          <c:tx>
            <c:strRef>
              <c:f>Campaign!$B$27</c:f>
              <c:strCache>
                <c:ptCount val="1"/>
                <c:pt idx="0">
                  <c:v>Optimum Rotor Speed w/ Tilt Rotor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Campaign!$C$4:$W$4</c:f>
              <c:strCache/>
            </c:strRef>
          </c:xVal>
          <c:yVal>
            <c:numRef>
              <c:f>Campaign!$C$27:$W$27</c:f>
              <c:numCache/>
            </c:numRef>
          </c:yVal>
          <c:smooth val="1"/>
        </c:ser>
        <c:ser>
          <c:idx val="2"/>
          <c:order val="2"/>
          <c:tx>
            <c:strRef>
              <c:f>Campaign!$B$59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Campaign!$C$4:$W$4</c:f>
              <c:strCache/>
            </c:strRef>
          </c:xVal>
          <c:yVal>
            <c:numRef>
              <c:f>Campaign!$C$59:$W$59</c:f>
              <c:numCache/>
            </c:numRef>
          </c:yVal>
          <c:smooth val="1"/>
        </c:ser>
        <c:axId val="51604256"/>
        <c:axId val="61785121"/>
      </c:scatterChart>
      <c:valAx>
        <c:axId val="5160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5121"/>
        <c:crosses val="autoZero"/>
        <c:crossBetween val="midCat"/>
        <c:dispUnits/>
      </c:valAx>
      <c:valAx>
        <c:axId val="6178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2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6"/>
          <c:y val="0.19625"/>
          <c:w val="0.541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-0.009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2"/>
          <c:w val="0.9705"/>
          <c:h val="0.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'Navy - Time on Station'!$P$25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'Navy - Time on Station'!$Q$25</c:f>
              <c:numCache/>
            </c:numRef>
          </c:xVal>
          <c:yVal>
            <c:numRef>
              <c:f>'Navy - Time on Station'!$R$25</c:f>
              <c:numCache/>
            </c:numRef>
          </c:yVal>
          <c:smooth val="0"/>
        </c:ser>
        <c:ser>
          <c:idx val="1"/>
          <c:order val="1"/>
          <c:tx>
            <c:strRef>
              <c:f>'Navy - Time on Station'!$P$26</c:f>
              <c:strCache>
                <c:ptCount val="1"/>
                <c:pt idx="0">
                  <c:v>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'Navy - Time on Station'!$Q$26</c:f>
              <c:numCache/>
            </c:numRef>
          </c:xVal>
          <c:yVal>
            <c:numRef>
              <c:f>'Navy - Time on Station'!$R$26</c:f>
              <c:numCache/>
            </c:numRef>
          </c:yVal>
          <c:smooth val="0"/>
        </c:ser>
        <c:ser>
          <c:idx val="2"/>
          <c:order val="2"/>
          <c:tx>
            <c:strRef>
              <c:f>'Navy - Time on Station'!$P$27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'Navy - Time on Station'!$Q$27</c:f>
              <c:numCache/>
            </c:numRef>
          </c:xVal>
          <c:yVal>
            <c:numRef>
              <c:f>'Navy - Time on Station'!$R$27</c:f>
              <c:numCache/>
            </c:numRef>
          </c:yVal>
          <c:smooth val="0"/>
        </c:ser>
        <c:axId val="19195178"/>
        <c:axId val="38538875"/>
      </c:scatterChart>
      <c:valAx>
        <c:axId val="1919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38875"/>
        <c:crosses val="autoZero"/>
        <c:crossBetween val="midCat"/>
        <c:dispUnits/>
      </c:valAx>
      <c:valAx>
        <c:axId val="38538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195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2875"/>
          <c:w val="0.840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375"/>
          <c:w val="0.95725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'Marine Corps - Heavy Lift'!$M$63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'Marine Corps - Heavy Lift'!$N$63</c:f>
              <c:numCache/>
            </c:numRef>
          </c:xVal>
          <c:yVal>
            <c:numRef>
              <c:f>'Marine Corps - Heavy Lift'!$O$63</c:f>
              <c:numCache/>
            </c:numRef>
          </c:yVal>
          <c:smooth val="0"/>
        </c:ser>
        <c:ser>
          <c:idx val="1"/>
          <c:order val="1"/>
          <c:tx>
            <c:strRef>
              <c:f>'Marine Corps - Heavy Lift'!$M$64</c:f>
              <c:strCache>
                <c:ptCount val="1"/>
                <c:pt idx="0">
                  <c:v>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'Marine Corps - Heavy Lift'!$N$64</c:f>
              <c:numCache/>
            </c:numRef>
          </c:xVal>
          <c:yVal>
            <c:numRef>
              <c:f>'Marine Corps - Heavy Lift'!$O$64</c:f>
              <c:numCache/>
            </c:numRef>
          </c:yVal>
          <c:smooth val="0"/>
        </c:ser>
        <c:ser>
          <c:idx val="2"/>
          <c:order val="2"/>
          <c:tx>
            <c:strRef>
              <c:f>'Marine Corps - Heavy Lift'!$M$65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'Marine Corps - Heavy Lift'!$N$65</c:f>
              <c:numCache/>
            </c:numRef>
          </c:xVal>
          <c:yVal>
            <c:numRef>
              <c:f>'Marine Corps - Heavy Lift'!$O$65</c:f>
              <c:numCache/>
            </c:numRef>
          </c:yVal>
          <c:smooth val="0"/>
        </c:ser>
        <c:axId val="11305556"/>
        <c:axId val="34641141"/>
      </c:scatterChart>
      <c:valAx>
        <c:axId val="113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641141"/>
        <c:crosses val="autoZero"/>
        <c:crossBetween val="midCat"/>
        <c:dispUnits/>
      </c:valAx>
      <c:valAx>
        <c:axId val="34641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305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9095"/>
          <c:w val="0.6702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275"/>
          <c:w val="0.966"/>
          <c:h val="0.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'Army Troop Mvnt - Mission Time'!$M$59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'Army Troop Mvnt - Mission Time'!$N$59</c:f>
              <c:numCache/>
            </c:numRef>
          </c:xVal>
          <c:yVal>
            <c:numRef>
              <c:f>'Army Troop Mvnt - Mission Time'!$O$59</c:f>
              <c:numCache/>
            </c:numRef>
          </c:yVal>
          <c:smooth val="0"/>
        </c:ser>
        <c:ser>
          <c:idx val="1"/>
          <c:order val="1"/>
          <c:tx>
            <c:strRef>
              <c:f>'Army Troop Mvnt - Mission Time'!$M$60</c:f>
              <c:strCache>
                <c:ptCount val="1"/>
                <c:pt idx="0">
                  <c:v>Algal Biofuel + 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'Army Troop Mvnt - Mission Time'!$N$60</c:f>
              <c:numCache/>
            </c:numRef>
          </c:xVal>
          <c:yVal>
            <c:numRef>
              <c:f>'Army Troop Mvnt - Mission Time'!$O$60</c:f>
              <c:numCache/>
            </c:numRef>
          </c:yVal>
          <c:smooth val="0"/>
        </c:ser>
        <c:ser>
          <c:idx val="2"/>
          <c:order val="2"/>
          <c:tx>
            <c:strRef>
              <c:f>'Army Troop Mvnt - Mission Time'!$M$61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'Army Troop Mvnt - Mission Time'!$N$61</c:f>
              <c:numCache/>
            </c:numRef>
          </c:xVal>
          <c:yVal>
            <c:numRef>
              <c:f>'Army Troop Mvnt - Mission Time'!$O$61</c:f>
              <c:numCache/>
            </c:numRef>
          </c:yVal>
          <c:smooth val="0"/>
        </c:ser>
        <c:axId val="43334814"/>
        <c:axId val="54469007"/>
      </c:scatterChart>
      <c:valAx>
        <c:axId val="433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469007"/>
        <c:crosses val="autoZero"/>
        <c:crossBetween val="midCat"/>
        <c:dispUnits/>
      </c:valAx>
      <c:valAx>
        <c:axId val="54469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33348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25"/>
          <c:y val="0.919"/>
          <c:w val="0.858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"/>
          <c:w val="0.9667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'Army Air Assault - Mission Time'!$M$57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'Army Air Assault - Mission Time'!$N$57</c:f>
              <c:numCache/>
            </c:numRef>
          </c:xVal>
          <c:yVal>
            <c:numRef>
              <c:f>'Army Air Assault - Mission Time'!$O$57</c:f>
              <c:numCache/>
            </c:numRef>
          </c:yVal>
          <c:smooth val="0"/>
        </c:ser>
        <c:ser>
          <c:idx val="1"/>
          <c:order val="1"/>
          <c:tx>
            <c:strRef>
              <c:f>'Army Air Assault - Mission Time'!$M$58</c:f>
              <c:strCache>
                <c:ptCount val="1"/>
                <c:pt idx="0">
                  <c:v>Algal Biofuel + 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'Army Air Assault - Mission Time'!$N$58</c:f>
              <c:numCache/>
            </c:numRef>
          </c:xVal>
          <c:yVal>
            <c:numRef>
              <c:f>'Army Air Assault - Mission Time'!$O$58</c:f>
              <c:numCache/>
            </c:numRef>
          </c:yVal>
          <c:smooth val="0"/>
        </c:ser>
        <c:ser>
          <c:idx val="2"/>
          <c:order val="2"/>
          <c:tx>
            <c:strRef>
              <c:f>'Army Air Assault - Mission Time'!$M$59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'Army Air Assault - Mission Time'!$N$59</c:f>
              <c:numCache/>
            </c:numRef>
          </c:xVal>
          <c:yVal>
            <c:numRef>
              <c:f>'Army Air Assault - Mission Time'!$O$59</c:f>
              <c:numCache/>
            </c:numRef>
          </c:yVal>
          <c:smooth val="0"/>
        </c:ser>
        <c:axId val="20459016"/>
        <c:axId val="49913417"/>
      </c:scatterChart>
      <c:val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9913417"/>
        <c:crosses val="autoZero"/>
        <c:crossBetween val="midCat"/>
        <c:dispUnits/>
      </c:valAx>
      <c:valAx>
        <c:axId val="49913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04590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9215"/>
          <c:w val="0.833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</a:rPr>
              <a:t>Cost vs. Expenditure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4"/>
          <c:w val="0.9647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'Air Force CSAR'!$J$38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'Air Force CSAR'!$K$38</c:f>
              <c:numCache/>
            </c:numRef>
          </c:xVal>
          <c:yVal>
            <c:numRef>
              <c:f>'Air Force CSAR'!$L$38</c:f>
              <c:numCache/>
            </c:numRef>
          </c:yVal>
          <c:smooth val="0"/>
        </c:ser>
        <c:ser>
          <c:idx val="1"/>
          <c:order val="1"/>
          <c:tx>
            <c:strRef>
              <c:f>'Air Force CSAR'!$J$39</c:f>
              <c:strCache>
                <c:ptCount val="1"/>
                <c:pt idx="0">
                  <c:v>Algal Biofuel + Composite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'Air Force CSAR'!$K$39</c:f>
              <c:numCache/>
            </c:numRef>
          </c:xVal>
          <c:yVal>
            <c:numRef>
              <c:f>'Air Force CSAR'!$L$39</c:f>
              <c:numCache/>
            </c:numRef>
          </c:yVal>
          <c:smooth val="0"/>
        </c:ser>
        <c:ser>
          <c:idx val="2"/>
          <c:order val="2"/>
          <c:tx>
            <c:strRef>
              <c:f>'Air Force CSAR'!$J$40</c:f>
              <c:strCache>
                <c:ptCount val="1"/>
                <c:pt idx="0">
                  <c:v>Combined w/ Removal of Driveshaft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'Air Force CSAR'!$K$40</c:f>
              <c:numCache/>
            </c:numRef>
          </c:xVal>
          <c:yVal>
            <c:numRef>
              <c:f>'Air Force CSAR'!$L$40</c:f>
              <c:numCache/>
            </c:numRef>
          </c:yVal>
          <c:smooth val="0"/>
        </c:ser>
        <c:axId val="46567570"/>
        <c:axId val="16454947"/>
      </c:scatterChart>
      <c:val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6454947"/>
        <c:crosses val="autoZero"/>
        <c:crossBetween val="midCat"/>
        <c:dispUnits/>
      </c:valAx>
      <c:valAx>
        <c:axId val="16454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567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975"/>
          <c:w val="0.867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28</xdr:row>
      <xdr:rowOff>76200</xdr:rowOff>
    </xdr:from>
    <xdr:to>
      <xdr:col>9</xdr:col>
      <xdr:colOff>200025</xdr:colOff>
      <xdr:row>44</xdr:row>
      <xdr:rowOff>152400</xdr:rowOff>
    </xdr:to>
    <xdr:graphicFrame>
      <xdr:nvGraphicFramePr>
        <xdr:cNvPr id="1" name="Chart 2"/>
        <xdr:cNvGraphicFramePr/>
      </xdr:nvGraphicFramePr>
      <xdr:xfrm>
        <a:off x="2076450" y="5953125"/>
        <a:ext cx="4752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28</xdr:row>
      <xdr:rowOff>85725</xdr:rowOff>
    </xdr:from>
    <xdr:to>
      <xdr:col>18</xdr:col>
      <xdr:colOff>371475</xdr:colOff>
      <xdr:row>44</xdr:row>
      <xdr:rowOff>133350</xdr:rowOff>
    </xdr:to>
    <xdr:graphicFrame>
      <xdr:nvGraphicFramePr>
        <xdr:cNvPr id="2" name="Chart 3"/>
        <xdr:cNvGraphicFramePr/>
      </xdr:nvGraphicFramePr>
      <xdr:xfrm>
        <a:off x="7829550" y="5962650"/>
        <a:ext cx="45720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60</xdr:row>
      <xdr:rowOff>76200</xdr:rowOff>
    </xdr:from>
    <xdr:to>
      <xdr:col>9</xdr:col>
      <xdr:colOff>200025</xdr:colOff>
      <xdr:row>76</xdr:row>
      <xdr:rowOff>152400</xdr:rowOff>
    </xdr:to>
    <xdr:graphicFrame>
      <xdr:nvGraphicFramePr>
        <xdr:cNvPr id="3" name="Chart 2"/>
        <xdr:cNvGraphicFramePr/>
      </xdr:nvGraphicFramePr>
      <xdr:xfrm>
        <a:off x="2076450" y="12325350"/>
        <a:ext cx="47529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60</xdr:row>
      <xdr:rowOff>85725</xdr:rowOff>
    </xdr:from>
    <xdr:to>
      <xdr:col>18</xdr:col>
      <xdr:colOff>371475</xdr:colOff>
      <xdr:row>76</xdr:row>
      <xdr:rowOff>133350</xdr:rowOff>
    </xdr:to>
    <xdr:graphicFrame>
      <xdr:nvGraphicFramePr>
        <xdr:cNvPr id="4" name="Chart 3"/>
        <xdr:cNvGraphicFramePr/>
      </xdr:nvGraphicFramePr>
      <xdr:xfrm>
        <a:off x="7829550" y="12334875"/>
        <a:ext cx="4572000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1457325</xdr:colOff>
      <xdr:row>32</xdr:row>
      <xdr:rowOff>123825</xdr:rowOff>
    </xdr:from>
    <xdr:to>
      <xdr:col>15</xdr:col>
      <xdr:colOff>1343025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8867775" y="6686550"/>
        <a:ext cx="58102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44</xdr:row>
      <xdr:rowOff>133350</xdr:rowOff>
    </xdr:from>
    <xdr:to>
      <xdr:col>15</xdr:col>
      <xdr:colOff>1162050</xdr:colOff>
      <xdr:row>58</xdr:row>
      <xdr:rowOff>219075</xdr:rowOff>
    </xdr:to>
    <xdr:graphicFrame>
      <xdr:nvGraphicFramePr>
        <xdr:cNvPr id="1" name="Chart 5"/>
        <xdr:cNvGraphicFramePr/>
      </xdr:nvGraphicFramePr>
      <xdr:xfrm>
        <a:off x="10420350" y="9210675"/>
        <a:ext cx="4533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36</xdr:row>
      <xdr:rowOff>161925</xdr:rowOff>
    </xdr:from>
    <xdr:to>
      <xdr:col>15</xdr:col>
      <xdr:colOff>1562100</xdr:colOff>
      <xdr:row>55</xdr:row>
      <xdr:rowOff>9525</xdr:rowOff>
    </xdr:to>
    <xdr:graphicFrame>
      <xdr:nvGraphicFramePr>
        <xdr:cNvPr id="1" name="Chart 2"/>
        <xdr:cNvGraphicFramePr/>
      </xdr:nvGraphicFramePr>
      <xdr:xfrm>
        <a:off x="9525000" y="749617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1457325</xdr:colOff>
      <xdr:row>32</xdr:row>
      <xdr:rowOff>123825</xdr:rowOff>
    </xdr:from>
    <xdr:to>
      <xdr:col>15</xdr:col>
      <xdr:colOff>1343025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8867775" y="6686550"/>
        <a:ext cx="58102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17</xdr:row>
      <xdr:rowOff>66675</xdr:rowOff>
    </xdr:from>
    <xdr:to>
      <xdr:col>20</xdr:col>
      <xdr:colOff>428625</xdr:colOff>
      <xdr:row>37</xdr:row>
      <xdr:rowOff>95250</xdr:rowOff>
    </xdr:to>
    <xdr:graphicFrame>
      <xdr:nvGraphicFramePr>
        <xdr:cNvPr id="1" name="Chart 4"/>
        <xdr:cNvGraphicFramePr/>
      </xdr:nvGraphicFramePr>
      <xdr:xfrm>
        <a:off x="9610725" y="3714750"/>
        <a:ext cx="64865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44</xdr:row>
      <xdr:rowOff>133350</xdr:rowOff>
    </xdr:from>
    <xdr:to>
      <xdr:col>15</xdr:col>
      <xdr:colOff>1162050</xdr:colOff>
      <xdr:row>58</xdr:row>
      <xdr:rowOff>219075</xdr:rowOff>
    </xdr:to>
    <xdr:graphicFrame>
      <xdr:nvGraphicFramePr>
        <xdr:cNvPr id="1" name="Chart 5"/>
        <xdr:cNvGraphicFramePr/>
      </xdr:nvGraphicFramePr>
      <xdr:xfrm>
        <a:off x="10420350" y="9210675"/>
        <a:ext cx="4533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36</xdr:row>
      <xdr:rowOff>161925</xdr:rowOff>
    </xdr:from>
    <xdr:to>
      <xdr:col>15</xdr:col>
      <xdr:colOff>1562100</xdr:colOff>
      <xdr:row>55</xdr:row>
      <xdr:rowOff>9525</xdr:rowOff>
    </xdr:to>
    <xdr:graphicFrame>
      <xdr:nvGraphicFramePr>
        <xdr:cNvPr id="1" name="Chart 2"/>
        <xdr:cNvGraphicFramePr/>
      </xdr:nvGraphicFramePr>
      <xdr:xfrm>
        <a:off x="9525000" y="749617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1457325</xdr:colOff>
      <xdr:row>32</xdr:row>
      <xdr:rowOff>123825</xdr:rowOff>
    </xdr:from>
    <xdr:to>
      <xdr:col>15</xdr:col>
      <xdr:colOff>1343025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8867775" y="6686550"/>
        <a:ext cx="58102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15</xdr:row>
      <xdr:rowOff>123825</xdr:rowOff>
    </xdr:from>
    <xdr:to>
      <xdr:col>16</xdr:col>
      <xdr:colOff>438150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7572375" y="3381375"/>
        <a:ext cx="56292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276225</xdr:rowOff>
    </xdr:from>
    <xdr:to>
      <xdr:col>16</xdr:col>
      <xdr:colOff>295275</xdr:colOff>
      <xdr:row>29</xdr:row>
      <xdr:rowOff>19050</xdr:rowOff>
    </xdr:to>
    <xdr:graphicFrame>
      <xdr:nvGraphicFramePr>
        <xdr:cNvPr id="1" name="Chart 6"/>
        <xdr:cNvGraphicFramePr/>
      </xdr:nvGraphicFramePr>
      <xdr:xfrm>
        <a:off x="7153275" y="2914650"/>
        <a:ext cx="50196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44</xdr:row>
      <xdr:rowOff>133350</xdr:rowOff>
    </xdr:from>
    <xdr:to>
      <xdr:col>15</xdr:col>
      <xdr:colOff>1162050</xdr:colOff>
      <xdr:row>58</xdr:row>
      <xdr:rowOff>219075</xdr:rowOff>
    </xdr:to>
    <xdr:graphicFrame>
      <xdr:nvGraphicFramePr>
        <xdr:cNvPr id="1" name="Chart 5"/>
        <xdr:cNvGraphicFramePr/>
      </xdr:nvGraphicFramePr>
      <xdr:xfrm>
        <a:off x="10420350" y="9210675"/>
        <a:ext cx="4533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36</xdr:row>
      <xdr:rowOff>161925</xdr:rowOff>
    </xdr:from>
    <xdr:to>
      <xdr:col>15</xdr:col>
      <xdr:colOff>1562100</xdr:colOff>
      <xdr:row>55</xdr:row>
      <xdr:rowOff>9525</xdr:rowOff>
    </xdr:to>
    <xdr:graphicFrame>
      <xdr:nvGraphicFramePr>
        <xdr:cNvPr id="1" name="Chart 2"/>
        <xdr:cNvGraphicFramePr/>
      </xdr:nvGraphicFramePr>
      <xdr:xfrm>
        <a:off x="9525000" y="749617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="80" zoomScaleNormal="80" zoomScalePageLayoutView="0" workbookViewId="0" topLeftCell="A1">
      <selection activeCell="K30" sqref="K30"/>
    </sheetView>
  </sheetViews>
  <sheetFormatPr defaultColWidth="8.8515625" defaultRowHeight="15"/>
  <cols>
    <col min="1" max="1" width="12.7109375" style="0" customWidth="1"/>
    <col min="2" max="2" width="17.8515625" style="0" customWidth="1"/>
    <col min="3" max="3" width="11.7109375" style="1" customWidth="1"/>
    <col min="4" max="4" width="12.140625" style="1" customWidth="1"/>
    <col min="5" max="23" width="9.00390625" style="1" customWidth="1"/>
  </cols>
  <sheetData>
    <row r="1" spans="1:3" ht="15">
      <c r="A1" t="s">
        <v>54</v>
      </c>
      <c r="B1" s="6" t="s">
        <v>163</v>
      </c>
      <c r="C1" s="90">
        <v>2011</v>
      </c>
    </row>
    <row r="2" spans="2:3" ht="15">
      <c r="B2" s="6" t="s">
        <v>79</v>
      </c>
      <c r="C2" s="90">
        <v>13</v>
      </c>
    </row>
    <row r="4" spans="3:23" ht="15.75" thickBot="1">
      <c r="C4" s="1" t="s">
        <v>55</v>
      </c>
      <c r="D4" s="1" t="s">
        <v>56</v>
      </c>
      <c r="E4" s="1" t="s">
        <v>57</v>
      </c>
      <c r="F4" s="1" t="s">
        <v>58</v>
      </c>
      <c r="G4" s="1" t="s">
        <v>59</v>
      </c>
      <c r="H4" s="1" t="s">
        <v>60</v>
      </c>
      <c r="I4" s="1" t="s">
        <v>61</v>
      </c>
      <c r="J4" s="1" t="s">
        <v>62</v>
      </c>
      <c r="K4" s="1" t="s">
        <v>63</v>
      </c>
      <c r="L4" s="1" t="s">
        <v>64</v>
      </c>
      <c r="M4" s="1" t="s">
        <v>65</v>
      </c>
      <c r="N4" s="1" t="s">
        <v>66</v>
      </c>
      <c r="O4" s="1" t="s">
        <v>67</v>
      </c>
      <c r="P4" s="1" t="s">
        <v>68</v>
      </c>
      <c r="Q4" s="1" t="s">
        <v>69</v>
      </c>
      <c r="R4" s="1" t="s">
        <v>70</v>
      </c>
      <c r="S4" s="1" t="s">
        <v>71</v>
      </c>
      <c r="T4" s="1" t="s">
        <v>72</v>
      </c>
      <c r="U4" s="1" t="s">
        <v>73</v>
      </c>
      <c r="V4" s="1" t="s">
        <v>74</v>
      </c>
      <c r="W4" s="1" t="s">
        <v>75</v>
      </c>
    </row>
    <row r="5" spans="2:25" ht="15">
      <c r="B5" t="s">
        <v>43</v>
      </c>
      <c r="C5" s="91">
        <v>1</v>
      </c>
      <c r="D5" s="92">
        <v>1</v>
      </c>
      <c r="E5" s="92">
        <v>1</v>
      </c>
      <c r="F5" s="92">
        <v>1</v>
      </c>
      <c r="G5" s="92">
        <v>1</v>
      </c>
      <c r="H5" s="92">
        <v>1</v>
      </c>
      <c r="I5" s="92">
        <v>1</v>
      </c>
      <c r="J5" s="92">
        <v>1</v>
      </c>
      <c r="K5" s="92">
        <v>1</v>
      </c>
      <c r="L5" s="92">
        <v>1</v>
      </c>
      <c r="M5" s="92">
        <v>2</v>
      </c>
      <c r="N5" s="92">
        <v>2</v>
      </c>
      <c r="O5" s="92">
        <v>2</v>
      </c>
      <c r="P5" s="92">
        <v>2</v>
      </c>
      <c r="Q5" s="92">
        <v>2</v>
      </c>
      <c r="R5" s="92">
        <v>2</v>
      </c>
      <c r="S5" s="92">
        <v>2</v>
      </c>
      <c r="T5" s="92">
        <v>2</v>
      </c>
      <c r="U5" s="92">
        <v>2</v>
      </c>
      <c r="V5" s="92">
        <v>2</v>
      </c>
      <c r="W5" s="93">
        <v>1</v>
      </c>
      <c r="Y5">
        <f>SUM(C5:W5)</f>
        <v>31</v>
      </c>
    </row>
    <row r="6" spans="2:25" ht="15">
      <c r="B6" t="s">
        <v>42</v>
      </c>
      <c r="C6" s="94"/>
      <c r="D6" s="90">
        <v>3</v>
      </c>
      <c r="E6" s="90"/>
      <c r="F6" s="90"/>
      <c r="G6" s="90"/>
      <c r="H6" s="90">
        <v>3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5">
        <v>3</v>
      </c>
      <c r="Y6">
        <f>SUM(C6:W6)</f>
        <v>9</v>
      </c>
    </row>
    <row r="7" spans="2:25" ht="15">
      <c r="B7" t="s">
        <v>76</v>
      </c>
      <c r="C7" s="94">
        <v>2</v>
      </c>
      <c r="D7" s="90">
        <v>4</v>
      </c>
      <c r="E7" s="90">
        <v>4</v>
      </c>
      <c r="F7" s="90">
        <v>4</v>
      </c>
      <c r="G7" s="90">
        <v>2</v>
      </c>
      <c r="H7" s="90">
        <v>1</v>
      </c>
      <c r="I7" s="90">
        <v>1</v>
      </c>
      <c r="J7" s="90">
        <v>1</v>
      </c>
      <c r="K7" s="90">
        <v>1</v>
      </c>
      <c r="L7" s="90"/>
      <c r="M7" s="90"/>
      <c r="N7" s="90"/>
      <c r="O7" s="90"/>
      <c r="P7" s="90"/>
      <c r="Q7" s="90"/>
      <c r="R7" s="90"/>
      <c r="S7" s="90"/>
      <c r="T7" s="90"/>
      <c r="U7" s="90">
        <v>3</v>
      </c>
      <c r="V7" s="90">
        <v>4</v>
      </c>
      <c r="W7" s="95"/>
      <c r="Y7">
        <f>SUM(C7:W7)</f>
        <v>27</v>
      </c>
    </row>
    <row r="8" spans="2:25" ht="15">
      <c r="B8" t="s">
        <v>77</v>
      </c>
      <c r="C8" s="94"/>
      <c r="D8" s="90"/>
      <c r="E8" s="90">
        <v>1</v>
      </c>
      <c r="F8" s="90">
        <v>1</v>
      </c>
      <c r="G8" s="90">
        <v>2</v>
      </c>
      <c r="H8" s="90">
        <v>2</v>
      </c>
      <c r="I8" s="90">
        <v>2</v>
      </c>
      <c r="J8" s="90">
        <v>2</v>
      </c>
      <c r="K8" s="90"/>
      <c r="L8" s="90"/>
      <c r="M8" s="90"/>
      <c r="N8" s="90"/>
      <c r="O8" s="90">
        <v>1</v>
      </c>
      <c r="P8" s="90"/>
      <c r="Q8" s="90"/>
      <c r="R8" s="90"/>
      <c r="S8" s="90"/>
      <c r="T8" s="90"/>
      <c r="U8" s="90"/>
      <c r="V8" s="90"/>
      <c r="W8" s="95"/>
      <c r="Y8">
        <f>SUM(C8:W8)</f>
        <v>11</v>
      </c>
    </row>
    <row r="9" spans="2:25" ht="15.75" thickBot="1">
      <c r="B9" t="s">
        <v>78</v>
      </c>
      <c r="C9" s="96">
        <v>1</v>
      </c>
      <c r="D9" s="97"/>
      <c r="E9" s="97">
        <v>3</v>
      </c>
      <c r="F9" s="97"/>
      <c r="G9" s="97"/>
      <c r="H9" s="97">
        <v>5</v>
      </c>
      <c r="I9" s="97"/>
      <c r="J9" s="97"/>
      <c r="K9" s="97"/>
      <c r="L9" s="97">
        <v>2</v>
      </c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Y9">
        <f>SUM(C9:W9)</f>
        <v>11</v>
      </c>
    </row>
    <row r="11" spans="1:24" s="66" customFormat="1" ht="12">
      <c r="A11" s="116" t="s">
        <v>168</v>
      </c>
      <c r="B11" s="66" t="s">
        <v>80</v>
      </c>
      <c r="C11" s="67">
        <f>C5*'Navy - Time on Station'!$J$15+Campaign!C6*'Marine Corps - Heavy Lift'!$H$40+Campaign!C7*'Army Troop Mvnt - Mission Time'!$H$38+Campaign!C8*'Army Air Assault - Mission Time'!$H$38+Campaign!C9*'Air Force CSAR'!$E$20</f>
        <v>260314.08633093524</v>
      </c>
      <c r="D11" s="67">
        <f>D5*'Navy - Time on Station'!$J$15+Campaign!D6*'Marine Corps - Heavy Lift'!$H$40+Campaign!D7*'Army Troop Mvnt - Mission Time'!$H$38+Campaign!D8*'Army Air Assault - Mission Time'!$H$38+Campaign!D9*'Air Force CSAR'!$E$20+C11</f>
        <v>1944924.3353302814</v>
      </c>
      <c r="E11" s="67">
        <f>E5*'Navy - Time on Station'!$J$15+Campaign!E6*'Marine Corps - Heavy Lift'!$H$40+Campaign!E7*'Army Troop Mvnt - Mission Time'!$H$38+Campaign!E8*'Army Air Assault - Mission Time'!$H$38+Campaign!E9*'Air Force CSAR'!$E$20+D11</f>
        <v>2496408.4936036626</v>
      </c>
      <c r="F11" s="67">
        <f>F5*'Navy - Time on Station'!$J$15+Campaign!F6*'Marine Corps - Heavy Lift'!$H$40+Campaign!F7*'Army Troop Mvnt - Mission Time'!$H$38+Campaign!F8*'Army Air Assault - Mission Time'!$H$38+Campaign!F9*'Air Force CSAR'!$E$20+E11</f>
        <v>3010563.1554741664</v>
      </c>
      <c r="G11" s="67">
        <f>G5*'Navy - Time on Station'!$J$15+Campaign!G6*'Marine Corps - Heavy Lift'!$H$40+Campaign!G7*'Army Troop Mvnt - Mission Time'!$H$38+Campaign!G8*'Army Air Assault - Mission Time'!$H$38+Campaign!G9*'Air Force CSAR'!$E$20+F11</f>
        <v>3445703.7166252453</v>
      </c>
      <c r="H11" s="67">
        <f>H5*'Navy - Time on Station'!$J$15+Campaign!H6*'Marine Corps - Heavy Lift'!$H$40+Campaign!H7*'Army Troop Mvnt - Mission Time'!$H$38+Campaign!H8*'Army Air Assault - Mission Time'!$H$38+Campaign!H9*'Air Force CSAR'!$E$20+G11</f>
        <v>5120826.051955527</v>
      </c>
      <c r="I11" s="67">
        <f>I5*'Navy - Time on Station'!$J$15+Campaign!I6*'Marine Corps - Heavy Lift'!$H$40+Campaign!I7*'Army Troop Mvnt - Mission Time'!$H$38+Campaign!I8*'Army Air Assault - Mission Time'!$H$38+Campaign!I9*'Air Force CSAR'!$E$20+H11</f>
        <v>5469642.152674951</v>
      </c>
      <c r="J11" s="67">
        <f>J5*'Navy - Time on Station'!$J$15+Campaign!J6*'Marine Corps - Heavy Lift'!$H$40+Campaign!J7*'Army Troop Mvnt - Mission Time'!$H$38+Campaign!J8*'Army Air Assault - Mission Time'!$H$38+Campaign!J9*'Air Force CSAR'!$E$20+I11</f>
        <v>5818458.253394375</v>
      </c>
      <c r="K11" s="67">
        <f>K5*'Navy - Time on Station'!$J$15+Campaign!K6*'Marine Corps - Heavy Lift'!$H$40+Campaign!K7*'Army Troop Mvnt - Mission Time'!$H$38+Campaign!K8*'Army Air Assault - Mission Time'!$H$38+Campaign!K9*'Air Force CSAR'!$E$20+J11</f>
        <v>5980004.71382603</v>
      </c>
      <c r="L11" s="67">
        <f>L5*'Navy - Time on Station'!$J$15+Campaign!L6*'Marine Corps - Heavy Lift'!$H$40+Campaign!L7*'Army Troop Mvnt - Mission Time'!$H$38+Campaign!L8*'Army Air Assault - Mission Time'!$H$38+Campaign!L9*'Air Force CSAR'!$E$20+K11</f>
        <v>6080113.044761281</v>
      </c>
      <c r="M11" s="67">
        <f>M5*'Navy - Time on Station'!$J$15+Campaign!M6*'Marine Corps - Heavy Lift'!$H$40+Campaign!M7*'Army Troop Mvnt - Mission Time'!$H$38+Campaign!M8*'Army Air Assault - Mission Time'!$H$38+Campaign!M9*'Air Force CSAR'!$E$20+L11</f>
        <v>6230557.044761281</v>
      </c>
      <c r="N11" s="67">
        <f>N5*'Navy - Time on Station'!$J$15+Campaign!N6*'Marine Corps - Heavy Lift'!$H$40+Campaign!N7*'Army Troop Mvnt - Mission Time'!$H$38+Campaign!N8*'Army Air Assault - Mission Time'!$H$38+Campaign!N9*'Air Force CSAR'!$E$20+M11</f>
        <v>6381001.044761281</v>
      </c>
      <c r="O11" s="67">
        <f>O5*'Navy - Time on Station'!$J$15+Campaign!O6*'Marine Corps - Heavy Lift'!$H$40+Campaign!O7*'Army Troop Mvnt - Mission Time'!$H$38+Campaign!O8*'Army Air Assault - Mission Time'!$H$38+Campaign!O9*'Air Force CSAR'!$E$20+N11</f>
        <v>6625079.864905166</v>
      </c>
      <c r="P11" s="67">
        <f>P5*'Navy - Time on Station'!$J$15+Campaign!P6*'Marine Corps - Heavy Lift'!$H$40+Campaign!P7*'Army Troop Mvnt - Mission Time'!$H$38+Campaign!P8*'Army Air Assault - Mission Time'!$H$38+Campaign!P9*'Air Force CSAR'!$E$20+O11</f>
        <v>6775523.864905166</v>
      </c>
      <c r="Q11" s="67">
        <f>Q5*'Navy - Time on Station'!$J$15+Campaign!Q6*'Marine Corps - Heavy Lift'!$H$40+Campaign!Q7*'Army Troop Mvnt - Mission Time'!$H$38+Campaign!Q8*'Army Air Assault - Mission Time'!$H$38+Campaign!Q9*'Air Force CSAR'!$E$20+P11</f>
        <v>6925967.864905166</v>
      </c>
      <c r="R11" s="67">
        <f>R5*'Navy - Time on Station'!$J$15+Campaign!R6*'Marine Corps - Heavy Lift'!$H$40+Campaign!R7*'Army Troop Mvnt - Mission Time'!$H$38+Campaign!R8*'Army Air Assault - Mission Time'!$H$38+Campaign!R9*'Air Force CSAR'!$E$20+Q11</f>
        <v>7076411.864905166</v>
      </c>
      <c r="S11" s="67">
        <f>S5*'Navy - Time on Station'!$J$15+Campaign!S6*'Marine Corps - Heavy Lift'!$H$40+Campaign!S7*'Army Troop Mvnt - Mission Time'!$H$38+Campaign!S8*'Army Air Assault - Mission Time'!$H$38+Campaign!S9*'Air Force CSAR'!$E$20+R11</f>
        <v>7226855.864905166</v>
      </c>
      <c r="T11" s="67">
        <f>T5*'Navy - Time on Station'!$J$15+Campaign!T6*'Marine Corps - Heavy Lift'!$H$40+Campaign!T7*'Army Troop Mvnt - Mission Time'!$H$38+Campaign!T8*'Army Air Assault - Mission Time'!$H$38+Campaign!T9*'Air Force CSAR'!$E$20+S11</f>
        <v>7377299.864905166</v>
      </c>
      <c r="U11" s="67">
        <f>U5*'Navy - Time on Station'!$J$15+Campaign!U6*'Marine Corps - Heavy Lift'!$H$40+Campaign!U7*'Army Troop Mvnt - Mission Time'!$H$38+Campaign!U8*'Army Air Assault - Mission Time'!$H$38+Campaign!U9*'Air Force CSAR'!$E$20+T11</f>
        <v>7786717.24620013</v>
      </c>
      <c r="V11" s="67">
        <f>V5*'Navy - Time on Station'!$J$15+Campaign!V6*'Marine Corps - Heavy Lift'!$H$40+Campaign!V7*'Army Troop Mvnt - Mission Time'!$H$38+Campaign!V8*'Army Air Assault - Mission Time'!$H$38+Campaign!V9*'Air Force CSAR'!$E$20+U11</f>
        <v>8282459.087926749</v>
      </c>
      <c r="W11" s="67">
        <f>W5*'Navy - Time on Station'!$J$15+Campaign!W6*'Marine Corps - Heavy Lift'!$H$40+Campaign!W7*'Army Troop Mvnt - Mission Time'!$H$38+Campaign!W8*'Army Air Assault - Mission Time'!$H$38+Campaign!W9*'Air Force CSAR'!$E$20+V11</f>
        <v>9621771.495199475</v>
      </c>
      <c r="X11" s="89"/>
    </row>
    <row r="12" spans="1:23" s="68" customFormat="1" ht="12">
      <c r="A12" s="116"/>
      <c r="B12" s="68" t="s">
        <v>80</v>
      </c>
      <c r="C12" s="69">
        <f>$C$2/6.75*C11</f>
        <v>501345.64774846786</v>
      </c>
      <c r="D12" s="69">
        <f aca="true" t="shared" si="0" ref="D12:W12">$C$2/6.75*D11</f>
        <v>3745780.201376838</v>
      </c>
      <c r="E12" s="69">
        <f t="shared" si="0"/>
        <v>4807897.83953298</v>
      </c>
      <c r="F12" s="69">
        <f t="shared" si="0"/>
        <v>5798121.632765061</v>
      </c>
      <c r="G12" s="69">
        <f t="shared" si="0"/>
        <v>6636170.120907879</v>
      </c>
      <c r="H12" s="69">
        <f t="shared" si="0"/>
        <v>9862331.655618051</v>
      </c>
      <c r="I12" s="69">
        <f t="shared" si="0"/>
        <v>10534125.627373978</v>
      </c>
      <c r="J12" s="69">
        <f t="shared" si="0"/>
        <v>11205919.599129906</v>
      </c>
      <c r="K12" s="69">
        <f t="shared" si="0"/>
        <v>11517046.115516797</v>
      </c>
      <c r="L12" s="69">
        <f t="shared" si="0"/>
        <v>11709847.34546617</v>
      </c>
      <c r="M12" s="69">
        <f t="shared" si="0"/>
        <v>11999591.34546617</v>
      </c>
      <c r="N12" s="69">
        <f t="shared" si="0"/>
        <v>12289335.34546617</v>
      </c>
      <c r="O12" s="69">
        <f t="shared" si="0"/>
        <v>12759413.07315069</v>
      </c>
      <c r="P12" s="69">
        <f t="shared" si="0"/>
        <v>13049157.07315069</v>
      </c>
      <c r="Q12" s="69">
        <f t="shared" si="0"/>
        <v>13338901.07315069</v>
      </c>
      <c r="R12" s="69">
        <f t="shared" si="0"/>
        <v>13628645.07315069</v>
      </c>
      <c r="S12" s="69">
        <f t="shared" si="0"/>
        <v>13918389.07315069</v>
      </c>
      <c r="T12" s="69">
        <f t="shared" si="0"/>
        <v>14208133.07315069</v>
      </c>
      <c r="U12" s="69">
        <f t="shared" si="0"/>
        <v>14996640.622311361</v>
      </c>
      <c r="V12" s="69">
        <f t="shared" si="0"/>
        <v>15951402.687858924</v>
      </c>
      <c r="W12" s="69">
        <f t="shared" si="0"/>
        <v>18530819.17593973</v>
      </c>
    </row>
    <row r="16" spans="1:17" ht="68.25" customHeight="1">
      <c r="A16" t="s">
        <v>81</v>
      </c>
      <c r="B16" s="99" t="s">
        <v>49</v>
      </c>
      <c r="C16" s="84">
        <f>IF(B16=Technologies!A15,"See Combinations Below",VLOOKUP(Campaign!B16,Technologies!A2:C15,2,FALSE))</f>
        <v>0.07</v>
      </c>
      <c r="E16" s="117">
        <f>IF(C1&lt;VLOOKUP(B16,Technologies!A2:F9,6,FALSE),"Not Applicable for this Timeframe","")</f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3" ht="15">
      <c r="A17" t="s">
        <v>54</v>
      </c>
      <c r="B17" s="6" t="s">
        <v>79</v>
      </c>
      <c r="C17" s="1">
        <f>IF(OR(B16=Technologies!A6,B16=Technologies!A7,B16=Technologies!A8,B16=Technologies!A14),VLOOKUP(Campaign!B16,Technologies!A2:C15,3,FALSE),Campaign!C2)</f>
        <v>13</v>
      </c>
    </row>
    <row r="19" spans="3:23" ht="15">
      <c r="C19" s="1" t="s">
        <v>55</v>
      </c>
      <c r="D19" s="1" t="s">
        <v>56</v>
      </c>
      <c r="E19" s="1" t="s">
        <v>57</v>
      </c>
      <c r="F19" s="1" t="s">
        <v>58</v>
      </c>
      <c r="G19" s="1" t="s">
        <v>59</v>
      </c>
      <c r="H19" s="1" t="s">
        <v>60</v>
      </c>
      <c r="I19" s="1" t="s">
        <v>61</v>
      </c>
      <c r="J19" s="1" t="s">
        <v>62</v>
      </c>
      <c r="K19" s="1" t="s">
        <v>63</v>
      </c>
      <c r="L19" s="1" t="s">
        <v>64</v>
      </c>
      <c r="M19" s="1" t="s">
        <v>65</v>
      </c>
      <c r="N19" s="1" t="s">
        <v>66</v>
      </c>
      <c r="O19" s="1" t="s">
        <v>67</v>
      </c>
      <c r="P19" s="1" t="s">
        <v>68</v>
      </c>
      <c r="Q19" s="1" t="s">
        <v>69</v>
      </c>
      <c r="R19" s="1" t="s">
        <v>70</v>
      </c>
      <c r="S19" s="1" t="s">
        <v>71</v>
      </c>
      <c r="T19" s="1" t="s">
        <v>72</v>
      </c>
      <c r="U19" s="1" t="s">
        <v>73</v>
      </c>
      <c r="V19" s="1" t="s">
        <v>74</v>
      </c>
      <c r="W19" s="1" t="s">
        <v>75</v>
      </c>
    </row>
    <row r="20" spans="2:23" ht="15">
      <c r="B20" t="s">
        <v>43</v>
      </c>
      <c r="C20" s="1">
        <f>C5</f>
        <v>1</v>
      </c>
      <c r="D20" s="1">
        <f aca="true" t="shared" si="1" ref="D20:W20">D5</f>
        <v>1</v>
      </c>
      <c r="E20" s="1">
        <f t="shared" si="1"/>
        <v>1</v>
      </c>
      <c r="F20" s="1">
        <f t="shared" si="1"/>
        <v>1</v>
      </c>
      <c r="G20" s="1">
        <f t="shared" si="1"/>
        <v>1</v>
      </c>
      <c r="H20" s="1">
        <f t="shared" si="1"/>
        <v>1</v>
      </c>
      <c r="I20" s="1">
        <f t="shared" si="1"/>
        <v>1</v>
      </c>
      <c r="J20" s="1">
        <f t="shared" si="1"/>
        <v>1</v>
      </c>
      <c r="K20" s="1">
        <f t="shared" si="1"/>
        <v>1</v>
      </c>
      <c r="L20" s="1">
        <f t="shared" si="1"/>
        <v>1</v>
      </c>
      <c r="M20" s="1">
        <f t="shared" si="1"/>
        <v>2</v>
      </c>
      <c r="N20" s="1">
        <f t="shared" si="1"/>
        <v>2</v>
      </c>
      <c r="O20" s="1">
        <f t="shared" si="1"/>
        <v>2</v>
      </c>
      <c r="P20" s="1">
        <f t="shared" si="1"/>
        <v>2</v>
      </c>
      <c r="Q20" s="1">
        <f t="shared" si="1"/>
        <v>2</v>
      </c>
      <c r="R20" s="1">
        <f t="shared" si="1"/>
        <v>2</v>
      </c>
      <c r="S20" s="1">
        <f t="shared" si="1"/>
        <v>2</v>
      </c>
      <c r="T20" s="1">
        <f t="shared" si="1"/>
        <v>2</v>
      </c>
      <c r="U20" s="1">
        <f t="shared" si="1"/>
        <v>2</v>
      </c>
      <c r="V20" s="1">
        <f t="shared" si="1"/>
        <v>2</v>
      </c>
      <c r="W20" s="1">
        <f t="shared" si="1"/>
        <v>1</v>
      </c>
    </row>
    <row r="21" spans="2:23" ht="15">
      <c r="B21" t="s">
        <v>42</v>
      </c>
      <c r="C21" s="1">
        <f aca="true" t="shared" si="2" ref="C21:R21">C6</f>
        <v>0</v>
      </c>
      <c r="D21" s="1">
        <f t="shared" si="2"/>
        <v>3</v>
      </c>
      <c r="E21" s="1">
        <f t="shared" si="2"/>
        <v>0</v>
      </c>
      <c r="F21" s="1">
        <f t="shared" si="2"/>
        <v>0</v>
      </c>
      <c r="G21" s="1">
        <f t="shared" si="2"/>
        <v>0</v>
      </c>
      <c r="H21" s="1">
        <f t="shared" si="2"/>
        <v>3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  <c r="M21" s="1">
        <f t="shared" si="2"/>
        <v>0</v>
      </c>
      <c r="N21" s="1">
        <f t="shared" si="2"/>
        <v>0</v>
      </c>
      <c r="O21" s="1">
        <f t="shared" si="2"/>
        <v>0</v>
      </c>
      <c r="P21" s="1">
        <f t="shared" si="2"/>
        <v>0</v>
      </c>
      <c r="Q21" s="1">
        <f t="shared" si="2"/>
        <v>0</v>
      </c>
      <c r="R21" s="1">
        <f t="shared" si="2"/>
        <v>0</v>
      </c>
      <c r="S21" s="1">
        <f aca="true" t="shared" si="3" ref="S21:W23">S6</f>
        <v>0</v>
      </c>
      <c r="T21" s="1">
        <f t="shared" si="3"/>
        <v>0</v>
      </c>
      <c r="U21" s="1">
        <f t="shared" si="3"/>
        <v>0</v>
      </c>
      <c r="V21" s="1">
        <f t="shared" si="3"/>
        <v>0</v>
      </c>
      <c r="W21" s="1">
        <f t="shared" si="3"/>
        <v>3</v>
      </c>
    </row>
    <row r="22" spans="2:23" ht="15">
      <c r="B22" t="s">
        <v>76</v>
      </c>
      <c r="C22" s="1">
        <f aca="true" t="shared" si="4" ref="C22:R22">C7</f>
        <v>2</v>
      </c>
      <c r="D22" s="1">
        <f t="shared" si="4"/>
        <v>4</v>
      </c>
      <c r="E22" s="1">
        <f t="shared" si="4"/>
        <v>4</v>
      </c>
      <c r="F22" s="1">
        <f t="shared" si="4"/>
        <v>4</v>
      </c>
      <c r="G22" s="1">
        <f t="shared" si="4"/>
        <v>2</v>
      </c>
      <c r="H22" s="1">
        <f t="shared" si="4"/>
        <v>1</v>
      </c>
      <c r="I22" s="1">
        <f t="shared" si="4"/>
        <v>1</v>
      </c>
      <c r="J22" s="1">
        <f t="shared" si="4"/>
        <v>1</v>
      </c>
      <c r="K22" s="1">
        <f t="shared" si="4"/>
        <v>1</v>
      </c>
      <c r="L22" s="1">
        <f t="shared" si="4"/>
        <v>0</v>
      </c>
      <c r="M22" s="1">
        <f t="shared" si="4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3"/>
        <v>0</v>
      </c>
      <c r="T22" s="1">
        <f t="shared" si="3"/>
        <v>0</v>
      </c>
      <c r="U22" s="1">
        <f t="shared" si="3"/>
        <v>3</v>
      </c>
      <c r="V22" s="1">
        <f t="shared" si="3"/>
        <v>4</v>
      </c>
      <c r="W22" s="1">
        <f t="shared" si="3"/>
        <v>0</v>
      </c>
    </row>
    <row r="23" spans="2:23" ht="15">
      <c r="B23" t="s">
        <v>77</v>
      </c>
      <c r="C23" s="1">
        <f aca="true" t="shared" si="5" ref="C23:R23">C8</f>
        <v>0</v>
      </c>
      <c r="D23" s="1">
        <f t="shared" si="5"/>
        <v>0</v>
      </c>
      <c r="E23" s="1">
        <f t="shared" si="5"/>
        <v>1</v>
      </c>
      <c r="F23" s="1">
        <f t="shared" si="5"/>
        <v>1</v>
      </c>
      <c r="G23" s="1">
        <f t="shared" si="5"/>
        <v>2</v>
      </c>
      <c r="H23" s="1">
        <f t="shared" si="5"/>
        <v>2</v>
      </c>
      <c r="I23" s="1">
        <f t="shared" si="5"/>
        <v>2</v>
      </c>
      <c r="J23" s="1">
        <f t="shared" si="5"/>
        <v>2</v>
      </c>
      <c r="K23" s="1">
        <f t="shared" si="5"/>
        <v>0</v>
      </c>
      <c r="L23" s="1">
        <f t="shared" si="5"/>
        <v>0</v>
      </c>
      <c r="M23" s="1">
        <f t="shared" si="5"/>
        <v>0</v>
      </c>
      <c r="N23" s="1">
        <f t="shared" si="5"/>
        <v>0</v>
      </c>
      <c r="O23" s="1">
        <f t="shared" si="5"/>
        <v>1</v>
      </c>
      <c r="P23" s="1">
        <f t="shared" si="5"/>
        <v>0</v>
      </c>
      <c r="Q23" s="1">
        <f t="shared" si="5"/>
        <v>0</v>
      </c>
      <c r="R23" s="1">
        <f t="shared" si="5"/>
        <v>0</v>
      </c>
      <c r="S23" s="1">
        <f t="shared" si="3"/>
        <v>0</v>
      </c>
      <c r="T23" s="1">
        <f t="shared" si="3"/>
        <v>0</v>
      </c>
      <c r="U23" s="1">
        <f t="shared" si="3"/>
        <v>0</v>
      </c>
      <c r="V23" s="1">
        <f t="shared" si="3"/>
        <v>0</v>
      </c>
      <c r="W23" s="1">
        <f t="shared" si="3"/>
        <v>0</v>
      </c>
    </row>
    <row r="24" spans="2:23" ht="15">
      <c r="B24" t="s">
        <v>78</v>
      </c>
      <c r="C24" s="1">
        <f aca="true" t="shared" si="6" ref="C24:W24">C9</f>
        <v>1</v>
      </c>
      <c r="D24" s="1">
        <f t="shared" si="6"/>
        <v>0</v>
      </c>
      <c r="E24" s="1">
        <f t="shared" si="6"/>
        <v>3</v>
      </c>
      <c r="F24" s="1">
        <f t="shared" si="6"/>
        <v>0</v>
      </c>
      <c r="G24" s="1">
        <f t="shared" si="6"/>
        <v>0</v>
      </c>
      <c r="H24" s="1">
        <f t="shared" si="6"/>
        <v>5</v>
      </c>
      <c r="I24" s="1">
        <f t="shared" si="6"/>
        <v>0</v>
      </c>
      <c r="J24" s="1">
        <f t="shared" si="6"/>
        <v>0</v>
      </c>
      <c r="K24" s="1">
        <f t="shared" si="6"/>
        <v>0</v>
      </c>
      <c r="L24" s="1">
        <f t="shared" si="6"/>
        <v>2</v>
      </c>
      <c r="M24" s="1">
        <f t="shared" si="6"/>
        <v>0</v>
      </c>
      <c r="N24" s="1">
        <f t="shared" si="6"/>
        <v>0</v>
      </c>
      <c r="O24" s="1">
        <f t="shared" si="6"/>
        <v>0</v>
      </c>
      <c r="P24" s="1">
        <f t="shared" si="6"/>
        <v>0</v>
      </c>
      <c r="Q24" s="1">
        <f t="shared" si="6"/>
        <v>0</v>
      </c>
      <c r="R24" s="1">
        <f t="shared" si="6"/>
        <v>0</v>
      </c>
      <c r="S24" s="1">
        <f t="shared" si="6"/>
        <v>0</v>
      </c>
      <c r="T24" s="1">
        <f t="shared" si="6"/>
        <v>0</v>
      </c>
      <c r="U24" s="1">
        <f t="shared" si="6"/>
        <v>0</v>
      </c>
      <c r="V24" s="1">
        <f t="shared" si="6"/>
        <v>0</v>
      </c>
      <c r="W24" s="1">
        <f t="shared" si="6"/>
        <v>0</v>
      </c>
    </row>
    <row r="26" spans="1:24" s="66" customFormat="1" ht="12">
      <c r="A26" s="116" t="s">
        <v>168</v>
      </c>
      <c r="B26" s="66" t="str">
        <f>B16</f>
        <v>Optimum Rotor Speed w/ Tilt Rotor</v>
      </c>
      <c r="C26" s="67">
        <f>(C20*'Navy - Time on Station'!$J$15+Campaign!C21*'Marine Corps - Heavy Lift'!$H$40+Campaign!C22*'Army Troop Mvnt - Mission Time'!$H$38+Campaign!C23*'Army Air Assault - Mission Time'!$H$38+Campaign!C24*'Air Force CSAR'!$E$20)*(1-$C$16)</f>
        <v>242092.10028776975</v>
      </c>
      <c r="D26" s="67">
        <f>(D20*'Navy - Time on Station'!$J$15+Campaign!D21*'Marine Corps - Heavy Lift'!$H$40+Campaign!D22*'Army Troop Mvnt - Mission Time'!$H$38+Campaign!D23*'Army Air Assault - Mission Time'!$H$38+Campaign!D24*'Air Force CSAR'!$E$20)*(1-$C$16)+C26</f>
        <v>1808779.6318571614</v>
      </c>
      <c r="E26" s="67">
        <f>(E20*'Navy - Time on Station'!$J$15+Campaign!E21*'Marine Corps - Heavy Lift'!$H$40+Campaign!E22*'Army Troop Mvnt - Mission Time'!$H$38+Campaign!E23*'Army Air Assault - Mission Time'!$H$38+Campaign!E24*'Air Force CSAR'!$E$20)*(1-$C$16)+D26</f>
        <v>2321659.899051406</v>
      </c>
      <c r="F26" s="67">
        <f>(F20*'Navy - Time on Station'!$J$15+Campaign!F21*'Marine Corps - Heavy Lift'!$H$40+Campaign!F22*'Army Troop Mvnt - Mission Time'!$H$38+Campaign!F23*'Army Air Assault - Mission Time'!$H$38+Campaign!F24*'Air Force CSAR'!$E$20)*(1-$C$16)+E26</f>
        <v>2799823.734590974</v>
      </c>
      <c r="G26" s="67">
        <f>(G20*'Navy - Time on Station'!$J$15+Campaign!G21*'Marine Corps - Heavy Lift'!$H$40+Campaign!G22*'Army Troop Mvnt - Mission Time'!$H$38+Campaign!G23*'Army Air Assault - Mission Time'!$H$38+Campaign!G24*'Air Force CSAR'!$E$20)*(1-$C$16)+F26</f>
        <v>3204504.4564614776</v>
      </c>
      <c r="H26" s="67">
        <f>(H20*'Navy - Time on Station'!$J$15+Campaign!H21*'Marine Corps - Heavy Lift'!$H$40+Campaign!H22*'Army Troop Mvnt - Mission Time'!$H$38+Campaign!H23*'Army Air Assault - Mission Time'!$H$38+Campaign!H24*'Air Force CSAR'!$E$20)*(1-$C$16)+G26</f>
        <v>4762368.228318639</v>
      </c>
      <c r="I26" s="67">
        <f>(I20*'Navy - Time on Station'!$J$15+Campaign!I21*'Marine Corps - Heavy Lift'!$H$40+Campaign!I22*'Army Troop Mvnt - Mission Time'!$H$38+Campaign!I23*'Army Air Assault - Mission Time'!$H$38+Campaign!I24*'Air Force CSAR'!$E$20)*(1-$C$16)+H26</f>
        <v>5086767.201987704</v>
      </c>
      <c r="J26" s="67">
        <f>(J20*'Navy - Time on Station'!$J$15+Campaign!J21*'Marine Corps - Heavy Lift'!$H$40+Campaign!J22*'Army Troop Mvnt - Mission Time'!$H$38+Campaign!J23*'Army Air Assault - Mission Time'!$H$38+Campaign!J24*'Air Force CSAR'!$E$20)*(1-$C$16)+I26</f>
        <v>5411166.175656769</v>
      </c>
      <c r="K26" s="67">
        <f>(K20*'Navy - Time on Station'!$J$15+Campaign!K21*'Marine Corps - Heavy Lift'!$H$40+Campaign!K22*'Army Troop Mvnt - Mission Time'!$H$38+Campaign!K23*'Army Air Assault - Mission Time'!$H$38+Campaign!K24*'Air Force CSAR'!$E$20)*(1-$C$16)+J26</f>
        <v>5561404.383858209</v>
      </c>
      <c r="L26" s="67">
        <f>(L20*'Navy - Time on Station'!$J$15+Campaign!L21*'Marine Corps - Heavy Lift'!$H$40+Campaign!L22*'Army Troop Mvnt - Mission Time'!$H$38+Campaign!L23*'Army Air Assault - Mission Time'!$H$38+Campaign!L24*'Air Force CSAR'!$E$20)*(1-$C$16)+K26</f>
        <v>5654505.131627993</v>
      </c>
      <c r="M26" s="67">
        <f>(M20*'Navy - Time on Station'!$J$15+Campaign!M21*'Marine Corps - Heavy Lift'!$H$40+Campaign!M22*'Army Troop Mvnt - Mission Time'!$H$38+Campaign!M23*'Army Air Assault - Mission Time'!$H$38+Campaign!M24*'Air Force CSAR'!$E$20)*(1-$C$16)+L26</f>
        <v>5794418.051627993</v>
      </c>
      <c r="N26" s="67">
        <f>(N20*'Navy - Time on Station'!$J$15+Campaign!N21*'Marine Corps - Heavy Lift'!$H$40+Campaign!N22*'Army Troop Mvnt - Mission Time'!$H$38+Campaign!N23*'Army Air Assault - Mission Time'!$H$38+Campaign!N24*'Air Force CSAR'!$E$20)*(1-$C$16)+M26</f>
        <v>5934330.971627993</v>
      </c>
      <c r="O26" s="67">
        <f>(O20*'Navy - Time on Station'!$J$15+Campaign!O21*'Marine Corps - Heavy Lift'!$H$40+Campaign!O22*'Army Troop Mvnt - Mission Time'!$H$38+Campaign!O23*'Army Air Assault - Mission Time'!$H$38+Campaign!O24*'Air Force CSAR'!$E$20)*(1-$C$16)+N26</f>
        <v>6161324.274361806</v>
      </c>
      <c r="P26" s="67">
        <f>(P20*'Navy - Time on Station'!$J$15+Campaign!P21*'Marine Corps - Heavy Lift'!$H$40+Campaign!P22*'Army Troop Mvnt - Mission Time'!$H$38+Campaign!P23*'Army Air Assault - Mission Time'!$H$38+Campaign!P24*'Air Force CSAR'!$E$20)*(1-$C$16)+O26</f>
        <v>6301237.194361806</v>
      </c>
      <c r="Q26" s="67">
        <f>(Q20*'Navy - Time on Station'!$J$15+Campaign!Q21*'Marine Corps - Heavy Lift'!$H$40+Campaign!Q22*'Army Troop Mvnt - Mission Time'!$H$38+Campaign!Q23*'Army Air Assault - Mission Time'!$H$38+Campaign!Q24*'Air Force CSAR'!$E$20)*(1-$C$16)+P26</f>
        <v>6441150.114361806</v>
      </c>
      <c r="R26" s="67">
        <f>(R20*'Navy - Time on Station'!$J$15+Campaign!R21*'Marine Corps - Heavy Lift'!$H$40+Campaign!R22*'Army Troop Mvnt - Mission Time'!$H$38+Campaign!R23*'Army Air Assault - Mission Time'!$H$38+Campaign!R24*'Air Force CSAR'!$E$20)*(1-$C$16)+Q26</f>
        <v>6581063.034361806</v>
      </c>
      <c r="S26" s="67">
        <f>(S20*'Navy - Time on Station'!$J$15+Campaign!S21*'Marine Corps - Heavy Lift'!$H$40+Campaign!S22*'Army Troop Mvnt - Mission Time'!$H$38+Campaign!S23*'Army Air Assault - Mission Time'!$H$38+Campaign!S24*'Air Force CSAR'!$E$20)*(1-$C$16)+R26</f>
        <v>6720975.954361806</v>
      </c>
      <c r="T26" s="67">
        <f>(T20*'Navy - Time on Station'!$J$15+Campaign!T21*'Marine Corps - Heavy Lift'!$H$40+Campaign!T22*'Army Troop Mvnt - Mission Time'!$H$38+Campaign!T23*'Army Air Assault - Mission Time'!$H$38+Campaign!T24*'Air Force CSAR'!$E$20)*(1-$C$16)+S26</f>
        <v>6860888.874361806</v>
      </c>
      <c r="U26" s="67">
        <f>(U20*'Navy - Time on Station'!$J$15+Campaign!U21*'Marine Corps - Heavy Lift'!$H$40+Campaign!U22*'Army Troop Mvnt - Mission Time'!$H$38+Campaign!U23*'Army Air Assault - Mission Time'!$H$38+Campaign!U24*'Air Force CSAR'!$E$20)*(1-$C$16)+T26</f>
        <v>7241647.038966122</v>
      </c>
      <c r="V26" s="67">
        <f>(V20*'Navy - Time on Station'!$J$15+Campaign!V21*'Marine Corps - Heavy Lift'!$H$40+Campaign!V22*'Army Troop Mvnt - Mission Time'!$H$38+Campaign!V23*'Army Air Assault - Mission Time'!$H$38+Campaign!V24*'Air Force CSAR'!$E$20)*(1-$C$16)+U26</f>
        <v>7702686.951771878</v>
      </c>
      <c r="W26" s="67">
        <f>(W20*'Navy - Time on Station'!$J$15+Campaign!W21*'Marine Corps - Heavy Lift'!$H$40+Campaign!W22*'Army Troop Mvnt - Mission Time'!$H$38+Campaign!W23*'Army Air Assault - Mission Time'!$H$38+Campaign!W24*'Air Force CSAR'!$E$20)*(1-$C$16)+V26</f>
        <v>8948247.490535514</v>
      </c>
      <c r="X26" s="89"/>
    </row>
    <row r="27" spans="1:23" s="68" customFormat="1" ht="12">
      <c r="A27" s="116"/>
      <c r="B27" s="68" t="str">
        <f>B26</f>
        <v>Optimum Rotor Speed w/ Tilt Rotor</v>
      </c>
      <c r="C27" s="69">
        <f>$C$17/6.75*C26</f>
        <v>466251.452406075</v>
      </c>
      <c r="D27" s="69">
        <f aca="true" t="shared" si="7" ref="D27:W27">$C$17/6.75*D26</f>
        <v>3483575.587280459</v>
      </c>
      <c r="E27" s="69">
        <f t="shared" si="7"/>
        <v>4471344.99076567</v>
      </c>
      <c r="F27" s="69">
        <f t="shared" si="7"/>
        <v>5392253.118471505</v>
      </c>
      <c r="G27" s="69">
        <f t="shared" si="7"/>
        <v>6171638.212444327</v>
      </c>
      <c r="H27" s="69">
        <f t="shared" si="7"/>
        <v>9171968.439724786</v>
      </c>
      <c r="I27" s="69">
        <f t="shared" si="7"/>
        <v>9796736.8334578</v>
      </c>
      <c r="J27" s="69">
        <f t="shared" si="7"/>
        <v>10421505.227190815</v>
      </c>
      <c r="K27" s="69">
        <f t="shared" si="7"/>
        <v>10710852.887430623</v>
      </c>
      <c r="L27" s="69">
        <f t="shared" si="7"/>
        <v>10890158.03128354</v>
      </c>
      <c r="M27" s="69">
        <f t="shared" si="7"/>
        <v>11159619.95128354</v>
      </c>
      <c r="N27" s="69">
        <f t="shared" si="7"/>
        <v>11429081.87128354</v>
      </c>
      <c r="O27" s="69">
        <f t="shared" si="7"/>
        <v>11866254.158030145</v>
      </c>
      <c r="P27" s="69">
        <f t="shared" si="7"/>
        <v>12135716.078030145</v>
      </c>
      <c r="Q27" s="69">
        <f t="shared" si="7"/>
        <v>12405177.998030145</v>
      </c>
      <c r="R27" s="69">
        <f t="shared" si="7"/>
        <v>12674639.918030145</v>
      </c>
      <c r="S27" s="69">
        <f t="shared" si="7"/>
        <v>12944101.838030143</v>
      </c>
      <c r="T27" s="69">
        <f t="shared" si="7"/>
        <v>13213563.758030143</v>
      </c>
      <c r="U27" s="69">
        <f t="shared" si="7"/>
        <v>13946875.778749568</v>
      </c>
      <c r="V27" s="69">
        <f t="shared" si="7"/>
        <v>14834804.499708802</v>
      </c>
      <c r="W27" s="69">
        <f t="shared" si="7"/>
        <v>17233661.833623953</v>
      </c>
    </row>
    <row r="28" ht="15">
      <c r="D28" s="70"/>
    </row>
    <row r="48" spans="1:3" ht="42.75" customHeight="1">
      <c r="A48" s="118" t="s">
        <v>165</v>
      </c>
      <c r="B48" s="118"/>
      <c r="C48" s="1">
        <f>IF(OR(B16=Technologies!A5,B16=Technologies!A6,B16=Technologies!A7,B16=Technologies!A8,B16=Technologies!A9,B16=Technologies!A4),1,0)</f>
        <v>1</v>
      </c>
    </row>
    <row r="49" spans="1:2" ht="15">
      <c r="A49" t="s">
        <v>54</v>
      </c>
      <c r="B49" s="6"/>
    </row>
    <row r="51" spans="3:23" ht="15">
      <c r="C51" s="1" t="s">
        <v>55</v>
      </c>
      <c r="D51" s="1" t="s">
        <v>56</v>
      </c>
      <c r="E51" s="1" t="s">
        <v>57</v>
      </c>
      <c r="F51" s="1" t="s">
        <v>58</v>
      </c>
      <c r="G51" s="1" t="s">
        <v>59</v>
      </c>
      <c r="H51" s="1" t="s">
        <v>60</v>
      </c>
      <c r="I51" s="1" t="s">
        <v>61</v>
      </c>
      <c r="J51" s="1" t="s">
        <v>62</v>
      </c>
      <c r="K51" s="1" t="s">
        <v>63</v>
      </c>
      <c r="L51" s="1" t="s">
        <v>64</v>
      </c>
      <c r="M51" s="1" t="s">
        <v>65</v>
      </c>
      <c r="N51" s="1" t="s">
        <v>66</v>
      </c>
      <c r="O51" s="1" t="s">
        <v>67</v>
      </c>
      <c r="P51" s="1" t="s">
        <v>68</v>
      </c>
      <c r="Q51" s="1" t="s">
        <v>69</v>
      </c>
      <c r="R51" s="1" t="s">
        <v>70</v>
      </c>
      <c r="S51" s="1" t="s">
        <v>71</v>
      </c>
      <c r="T51" s="1" t="s">
        <v>72</v>
      </c>
      <c r="U51" s="1" t="s">
        <v>73</v>
      </c>
      <c r="V51" s="1" t="s">
        <v>74</v>
      </c>
      <c r="W51" s="1" t="s">
        <v>75</v>
      </c>
    </row>
    <row r="52" spans="2:23" ht="15">
      <c r="B52" t="s">
        <v>43</v>
      </c>
      <c r="C52" s="1">
        <f>C5</f>
        <v>1</v>
      </c>
      <c r="D52" s="1">
        <f aca="true" t="shared" si="8" ref="D52:W52">D5</f>
        <v>1</v>
      </c>
      <c r="E52" s="1">
        <f t="shared" si="8"/>
        <v>1</v>
      </c>
      <c r="F52" s="1">
        <f t="shared" si="8"/>
        <v>1</v>
      </c>
      <c r="G52" s="1">
        <f t="shared" si="8"/>
        <v>1</v>
      </c>
      <c r="H52" s="1">
        <f t="shared" si="8"/>
        <v>1</v>
      </c>
      <c r="I52" s="1">
        <f t="shared" si="8"/>
        <v>1</v>
      </c>
      <c r="J52" s="1">
        <f t="shared" si="8"/>
        <v>1</v>
      </c>
      <c r="K52" s="1">
        <f t="shared" si="8"/>
        <v>1</v>
      </c>
      <c r="L52" s="1">
        <f t="shared" si="8"/>
        <v>1</v>
      </c>
      <c r="M52" s="1">
        <f t="shared" si="8"/>
        <v>2</v>
      </c>
      <c r="N52" s="1">
        <f t="shared" si="8"/>
        <v>2</v>
      </c>
      <c r="O52" s="1">
        <f t="shared" si="8"/>
        <v>2</v>
      </c>
      <c r="P52" s="1">
        <f t="shared" si="8"/>
        <v>2</v>
      </c>
      <c r="Q52" s="1">
        <f t="shared" si="8"/>
        <v>2</v>
      </c>
      <c r="R52" s="1">
        <f t="shared" si="8"/>
        <v>2</v>
      </c>
      <c r="S52" s="1">
        <f t="shared" si="8"/>
        <v>2</v>
      </c>
      <c r="T52" s="1">
        <f t="shared" si="8"/>
        <v>2</v>
      </c>
      <c r="U52" s="1">
        <f t="shared" si="8"/>
        <v>2</v>
      </c>
      <c r="V52" s="1">
        <f t="shared" si="8"/>
        <v>2</v>
      </c>
      <c r="W52" s="1">
        <f t="shared" si="8"/>
        <v>1</v>
      </c>
    </row>
    <row r="53" spans="2:23" ht="15">
      <c r="B53" t="s">
        <v>42</v>
      </c>
      <c r="C53" s="1">
        <f>C6</f>
        <v>0</v>
      </c>
      <c r="D53" s="1">
        <f aca="true" t="shared" si="9" ref="D53:W53">D6</f>
        <v>3</v>
      </c>
      <c r="E53" s="1">
        <f t="shared" si="9"/>
        <v>0</v>
      </c>
      <c r="F53" s="1">
        <f t="shared" si="9"/>
        <v>0</v>
      </c>
      <c r="G53" s="1">
        <f t="shared" si="9"/>
        <v>0</v>
      </c>
      <c r="H53" s="1">
        <f t="shared" si="9"/>
        <v>3</v>
      </c>
      <c r="I53" s="1">
        <f t="shared" si="9"/>
        <v>0</v>
      </c>
      <c r="J53" s="1">
        <f t="shared" si="9"/>
        <v>0</v>
      </c>
      <c r="K53" s="1">
        <f t="shared" si="9"/>
        <v>0</v>
      </c>
      <c r="L53" s="1">
        <f t="shared" si="9"/>
        <v>0</v>
      </c>
      <c r="M53" s="1">
        <f t="shared" si="9"/>
        <v>0</v>
      </c>
      <c r="N53" s="1">
        <f t="shared" si="9"/>
        <v>0</v>
      </c>
      <c r="O53" s="1">
        <f t="shared" si="9"/>
        <v>0</v>
      </c>
      <c r="P53" s="1">
        <f t="shared" si="9"/>
        <v>0</v>
      </c>
      <c r="Q53" s="1">
        <f t="shared" si="9"/>
        <v>0</v>
      </c>
      <c r="R53" s="1">
        <f t="shared" si="9"/>
        <v>0</v>
      </c>
      <c r="S53" s="1">
        <f t="shared" si="9"/>
        <v>0</v>
      </c>
      <c r="T53" s="1">
        <f t="shared" si="9"/>
        <v>0</v>
      </c>
      <c r="U53" s="1">
        <f t="shared" si="9"/>
        <v>0</v>
      </c>
      <c r="V53" s="1">
        <f t="shared" si="9"/>
        <v>0</v>
      </c>
      <c r="W53" s="1">
        <f t="shared" si="9"/>
        <v>3</v>
      </c>
    </row>
    <row r="54" spans="2:23" ht="15">
      <c r="B54" t="s">
        <v>76</v>
      </c>
      <c r="C54" s="1">
        <f>C7</f>
        <v>2</v>
      </c>
      <c r="D54" s="1">
        <f aca="true" t="shared" si="10" ref="D54:W54">D7</f>
        <v>4</v>
      </c>
      <c r="E54" s="1">
        <f t="shared" si="10"/>
        <v>4</v>
      </c>
      <c r="F54" s="1">
        <f t="shared" si="10"/>
        <v>4</v>
      </c>
      <c r="G54" s="1">
        <f t="shared" si="10"/>
        <v>2</v>
      </c>
      <c r="H54" s="1">
        <f t="shared" si="10"/>
        <v>1</v>
      </c>
      <c r="I54" s="1">
        <f t="shared" si="10"/>
        <v>1</v>
      </c>
      <c r="J54" s="1">
        <f t="shared" si="10"/>
        <v>1</v>
      </c>
      <c r="K54" s="1">
        <f t="shared" si="10"/>
        <v>1</v>
      </c>
      <c r="L54" s="1">
        <f t="shared" si="10"/>
        <v>0</v>
      </c>
      <c r="M54" s="1">
        <f t="shared" si="10"/>
        <v>0</v>
      </c>
      <c r="N54" s="1">
        <f t="shared" si="10"/>
        <v>0</v>
      </c>
      <c r="O54" s="1">
        <f t="shared" si="10"/>
        <v>0</v>
      </c>
      <c r="P54" s="1">
        <f t="shared" si="10"/>
        <v>0</v>
      </c>
      <c r="Q54" s="1">
        <f t="shared" si="10"/>
        <v>0</v>
      </c>
      <c r="R54" s="1">
        <f t="shared" si="10"/>
        <v>0</v>
      </c>
      <c r="S54" s="1">
        <f t="shared" si="10"/>
        <v>0</v>
      </c>
      <c r="T54" s="1">
        <f t="shared" si="10"/>
        <v>0</v>
      </c>
      <c r="U54" s="1">
        <f t="shared" si="10"/>
        <v>3</v>
      </c>
      <c r="V54" s="1">
        <f t="shared" si="10"/>
        <v>4</v>
      </c>
      <c r="W54" s="1">
        <f t="shared" si="10"/>
        <v>0</v>
      </c>
    </row>
    <row r="55" spans="2:23" ht="15">
      <c r="B55" t="s">
        <v>77</v>
      </c>
      <c r="C55" s="1">
        <f aca="true" t="shared" si="11" ref="C55:R55">C8</f>
        <v>0</v>
      </c>
      <c r="D55" s="1">
        <f t="shared" si="11"/>
        <v>0</v>
      </c>
      <c r="E55" s="1">
        <f t="shared" si="11"/>
        <v>1</v>
      </c>
      <c r="F55" s="1">
        <f t="shared" si="11"/>
        <v>1</v>
      </c>
      <c r="G55" s="1">
        <f t="shared" si="11"/>
        <v>2</v>
      </c>
      <c r="H55" s="1">
        <f t="shared" si="11"/>
        <v>2</v>
      </c>
      <c r="I55" s="1">
        <f t="shared" si="11"/>
        <v>2</v>
      </c>
      <c r="J55" s="1">
        <f t="shared" si="11"/>
        <v>2</v>
      </c>
      <c r="K55" s="1">
        <f t="shared" si="11"/>
        <v>0</v>
      </c>
      <c r="L55" s="1">
        <f t="shared" si="11"/>
        <v>0</v>
      </c>
      <c r="M55" s="1">
        <f t="shared" si="11"/>
        <v>0</v>
      </c>
      <c r="N55" s="1">
        <f t="shared" si="11"/>
        <v>0</v>
      </c>
      <c r="O55" s="1">
        <f t="shared" si="11"/>
        <v>1</v>
      </c>
      <c r="P55" s="1">
        <f t="shared" si="11"/>
        <v>0</v>
      </c>
      <c r="Q55" s="1">
        <f t="shared" si="11"/>
        <v>0</v>
      </c>
      <c r="R55" s="1">
        <f t="shared" si="11"/>
        <v>0</v>
      </c>
      <c r="S55" s="1">
        <f>S8</f>
        <v>0</v>
      </c>
      <c r="T55" s="1">
        <f>T8</f>
        <v>0</v>
      </c>
      <c r="U55" s="1">
        <f>U8</f>
        <v>0</v>
      </c>
      <c r="V55" s="1">
        <f>V8</f>
        <v>0</v>
      </c>
      <c r="W55" s="1">
        <f>W8</f>
        <v>0</v>
      </c>
    </row>
    <row r="56" spans="2:23" ht="15">
      <c r="B56" t="s">
        <v>78</v>
      </c>
      <c r="C56" s="1">
        <f aca="true" t="shared" si="12" ref="C56:W56">C9</f>
        <v>1</v>
      </c>
      <c r="D56" s="1">
        <f t="shared" si="12"/>
        <v>0</v>
      </c>
      <c r="E56" s="1">
        <f t="shared" si="12"/>
        <v>3</v>
      </c>
      <c r="F56" s="1">
        <f t="shared" si="12"/>
        <v>0</v>
      </c>
      <c r="G56" s="1">
        <f t="shared" si="12"/>
        <v>0</v>
      </c>
      <c r="H56" s="1">
        <f t="shared" si="12"/>
        <v>5</v>
      </c>
      <c r="I56" s="1">
        <f t="shared" si="12"/>
        <v>0</v>
      </c>
      <c r="J56" s="1">
        <f t="shared" si="12"/>
        <v>0</v>
      </c>
      <c r="K56" s="1">
        <f t="shared" si="12"/>
        <v>0</v>
      </c>
      <c r="L56" s="1">
        <f t="shared" si="12"/>
        <v>2</v>
      </c>
      <c r="M56" s="1">
        <f t="shared" si="12"/>
        <v>0</v>
      </c>
      <c r="N56" s="1">
        <f t="shared" si="12"/>
        <v>0</v>
      </c>
      <c r="O56" s="1">
        <f t="shared" si="12"/>
        <v>0</v>
      </c>
      <c r="P56" s="1">
        <f t="shared" si="12"/>
        <v>0</v>
      </c>
      <c r="Q56" s="1">
        <f t="shared" si="12"/>
        <v>0</v>
      </c>
      <c r="R56" s="1">
        <f t="shared" si="12"/>
        <v>0</v>
      </c>
      <c r="S56" s="1">
        <f t="shared" si="12"/>
        <v>0</v>
      </c>
      <c r="T56" s="1">
        <f t="shared" si="12"/>
        <v>0</v>
      </c>
      <c r="U56" s="1">
        <f t="shared" si="12"/>
        <v>0</v>
      </c>
      <c r="V56" s="1">
        <f t="shared" si="12"/>
        <v>0</v>
      </c>
      <c r="W56" s="1">
        <f t="shared" si="12"/>
        <v>0</v>
      </c>
    </row>
    <row r="58" spans="1:24" s="66" customFormat="1" ht="12">
      <c r="A58" s="116" t="s">
        <v>168</v>
      </c>
      <c r="B58" s="66" t="str">
        <f>"Combined w/ Removal of Driveshaft"</f>
        <v>Combined w/ Removal of Driveshaft</v>
      </c>
      <c r="C58" s="67">
        <f>IF(C48=1,(1-$C$16)*(C52*'Navy - Time on Station'!$J$15*Technologies!$E$17+Campaign!C53*'Marine Corps - Heavy Lift'!$H$40*IF('Marine Corps - Heavy Lift'!$B$3="CH-53E",Technologies!$B$17,Technologies!$C$17)+(Campaign!C54*'Army Troop Mvnt - Mission Time'!$H$38+Campaign!C55*'Army Air Assault - Mission Time'!$H$38+Campaign!C56*'Air Force CSAR'!$E$20)*Technologies!$D$17),"N/A")</f>
        <v>241486.87003705036</v>
      </c>
      <c r="D58" s="67">
        <f>(1-$C$16)*(D52*'Navy - Time on Station'!$J$15*Technologies!$E$17+Campaign!D53*'Marine Corps - Heavy Lift'!$H$40*IF('Marine Corps - Heavy Lift'!$B$3="CH-53E",Technologies!$B$17,Technologies!$C$17)+(Campaign!D54*'Army Troop Mvnt - Mission Time'!$H$38+Campaign!D55*'Army Air Assault - Mission Time'!$H$38+Campaign!D56*'Air Force CSAR'!$E$20)*Technologies!$D$17)+C58</f>
        <v>1801318.6725806096</v>
      </c>
      <c r="E58" s="67">
        <f>(1-$C$16)*(E52*'Navy - Time on Station'!$J$15*Technologies!$E$17+Campaign!E53*'Marine Corps - Heavy Lift'!$H$40*IF('Marine Corps - Heavy Lift'!$B$3="CH-53E",Technologies!$B$17,Technologies!$C$17)+(Campaign!E54*'Army Troop Mvnt - Mission Time'!$H$38+Campaign!E55*'Army Air Assault - Mission Time'!$H$38+Campaign!E56*'Air Force CSAR'!$E$20)*Technologies!$D$17)+D58</f>
        <v>2312916.7391068684</v>
      </c>
      <c r="F58" s="67">
        <f>(1-$C$16)*(F52*'Navy - Time on Station'!$J$15*Technologies!$E$17+Campaign!F53*'Marine Corps - Heavy Lift'!$H$40*IF('Marine Corps - Heavy Lift'!$B$3="CH-53E",Technologies!$B$17,Technologies!$C$17)+(Campaign!F54*'Army Troop Mvnt - Mission Time'!$H$38+Campaign!F55*'Army Air Assault - Mission Time'!$H$38+Campaign!F56*'Air Force CSAR'!$E$20)*Technologies!$D$17)+E58</f>
        <v>2789885.165057588</v>
      </c>
      <c r="G58" s="67">
        <f>(1-$C$16)*(G52*'Navy - Time on Station'!$J$15*Technologies!$E$17+Campaign!G53*'Marine Corps - Heavy Lift'!$H$40*IF('Marine Corps - Heavy Lift'!$B$3="CH-53E",Technologies!$B$17,Technologies!$C$17)+(Campaign!G54*'Army Troop Mvnt - Mission Time'!$H$38+Campaign!G55*'Army Air Assault - Mission Time'!$H$38+Campaign!G56*'Air Force CSAR'!$E$20)*Technologies!$D$17)+F58</f>
        <v>3193554.185123415</v>
      </c>
      <c r="H58" s="67">
        <f>(1-$C$16)*(H52*'Navy - Time on Station'!$J$15*Technologies!$E$17+Campaign!H53*'Marine Corps - Heavy Lift'!$H$40*IF('Marine Corps - Heavy Lift'!$B$3="CH-53E",Technologies!$B$17,Technologies!$C$17)+(Campaign!H54*'Army Troop Mvnt - Mission Time'!$H$38+Campaign!H55*'Army Air Assault - Mission Time'!$H$38+Campaign!H56*'Air Force CSAR'!$E$20)*Technologies!$D$17)+G58</f>
        <v>4744584.287354025</v>
      </c>
      <c r="I58" s="67">
        <f>(1-$C$16)*(I52*'Navy - Time on Station'!$J$15*Technologies!$E$17+Campaign!I53*'Marine Corps - Heavy Lift'!$H$40*IF('Marine Corps - Heavy Lift'!$B$3="CH-53E",Technologies!$B$17,Technologies!$C$17)+(Campaign!I54*'Army Troop Mvnt - Mission Time'!$H$38+Campaign!I55*'Army Air Assault - Mission Time'!$H$38+Campaign!I56*'Air Force CSAR'!$E$20)*Technologies!$D$17)+H58</f>
        <v>5068172.263588917</v>
      </c>
      <c r="J58" s="67">
        <f>(1-$C$16)*(J52*'Navy - Time on Station'!$J$15*Technologies!$E$17+Campaign!J53*'Marine Corps - Heavy Lift'!$H$40*IF('Marine Corps - Heavy Lift'!$B$3="CH-53E",Technologies!$B$17,Technologies!$C$17)+(Campaign!J54*'Army Troop Mvnt - Mission Time'!$H$38+Campaign!J55*'Army Air Assault - Mission Time'!$H$38+Campaign!J56*'Air Force CSAR'!$E$20)*Technologies!$D$17)+I58</f>
        <v>5391760.23982381</v>
      </c>
      <c r="K58" s="67">
        <f>(1-$C$16)*(K52*'Navy - Time on Station'!$J$15*Technologies!$E$17+Campaign!K53*'Marine Corps - Heavy Lift'!$H$40*IF('Marine Corps - Heavy Lift'!$B$3="CH-53E",Technologies!$B$17,Technologies!$C$17)+(Campaign!K54*'Army Troop Mvnt - Mission Time'!$H$38+Campaign!K55*'Army Air Assault - Mission Time'!$H$38+Campaign!K56*'Air Force CSAR'!$E$20)*Technologies!$D$17)+J58</f>
        <v>5541622.852504745</v>
      </c>
      <c r="L58" s="67">
        <f>(1-$C$16)*(L52*'Navy - Time on Station'!$J$15*Technologies!$E$17+Campaign!L53*'Marine Corps - Heavy Lift'!$H$40*IF('Marine Corps - Heavy Lift'!$B$3="CH-53E",Technologies!$B$17,Technologies!$C$17)+(Campaign!L54*'Army Troop Mvnt - Mission Time'!$H$38+Campaign!L55*'Army Air Assault - Mission Time'!$H$38+Campaign!L56*'Air Force CSAR'!$E$20)*Technologies!$D$17)+K58</f>
        <v>5634490.848405105</v>
      </c>
      <c r="M58" s="67">
        <f>(1-$C$16)*(M52*'Navy - Time on Station'!$J$15*Technologies!$E$17+Campaign!M53*'Marine Corps - Heavy Lift'!$H$40*IF('Marine Corps - Heavy Lift'!$B$3="CH-53E",Technologies!$B$17,Technologies!$C$17)+(Campaign!M54*'Army Troop Mvnt - Mission Time'!$H$38+Campaign!M55*'Army Air Assault - Mission Time'!$H$38+Campaign!M56*'Air Force CSAR'!$E$20)*Technologies!$D$17)+L58</f>
        <v>5774053.986105105</v>
      </c>
      <c r="N58" s="67">
        <f>(1-$C$16)*(N52*'Navy - Time on Station'!$J$15*Technologies!$E$17+Campaign!N53*'Marine Corps - Heavy Lift'!$H$40*IF('Marine Corps - Heavy Lift'!$B$3="CH-53E",Technologies!$B$17,Technologies!$C$17)+(Campaign!N54*'Army Troop Mvnt - Mission Time'!$H$38+Campaign!N55*'Army Air Assault - Mission Time'!$H$38+Campaign!N56*'Air Force CSAR'!$E$20)*Technologies!$D$17)+M58</f>
        <v>5913617.123805105</v>
      </c>
      <c r="O58" s="67">
        <f>(1-$C$16)*(O52*'Navy - Time on Station'!$J$15*Technologies!$E$17+Campaign!O53*'Marine Corps - Heavy Lift'!$H$40*IF('Marine Corps - Heavy Lift'!$B$3="CH-53E",Technologies!$B$17,Technologies!$C$17)+(Campaign!O54*'Army Troop Mvnt - Mission Time'!$H$38+Campaign!O55*'Army Air Assault - Mission Time'!$H$38+Campaign!O56*'Air Force CSAR'!$E$20)*Technologies!$D$17)+N58</f>
        <v>6140042.943282084</v>
      </c>
      <c r="P58" s="67">
        <f>(1-$C$16)*(P52*'Navy - Time on Station'!$J$15*Technologies!$E$17+Campaign!P53*'Marine Corps - Heavy Lift'!$H$40*IF('Marine Corps - Heavy Lift'!$B$3="CH-53E",Technologies!$B$17,Technologies!$C$17)+(Campaign!P54*'Army Troop Mvnt - Mission Time'!$H$38+Campaign!P55*'Army Air Assault - Mission Time'!$H$38+Campaign!P56*'Air Force CSAR'!$E$20)*Technologies!$D$17)+O58</f>
        <v>6279606.080982083</v>
      </c>
      <c r="Q58" s="67">
        <f>(1-$C$16)*(Q52*'Navy - Time on Station'!$J$15*Technologies!$E$17+Campaign!Q53*'Marine Corps - Heavy Lift'!$H$40*IF('Marine Corps - Heavy Lift'!$B$3="CH-53E",Technologies!$B$17,Technologies!$C$17)+(Campaign!Q54*'Army Troop Mvnt - Mission Time'!$H$38+Campaign!Q55*'Army Air Assault - Mission Time'!$H$38+Campaign!Q56*'Air Force CSAR'!$E$20)*Technologies!$D$17)+P58</f>
        <v>6419169.218682083</v>
      </c>
      <c r="R58" s="67">
        <f>(1-$C$16)*(R52*'Navy - Time on Station'!$J$15*Technologies!$E$17+Campaign!R53*'Marine Corps - Heavy Lift'!$H$40*IF('Marine Corps - Heavy Lift'!$B$3="CH-53E",Technologies!$B$17,Technologies!$C$17)+(Campaign!R54*'Army Troop Mvnt - Mission Time'!$H$38+Campaign!R55*'Army Air Assault - Mission Time'!$H$38+Campaign!R56*'Air Force CSAR'!$E$20)*Technologies!$D$17)+Q58</f>
        <v>6558732.356382083</v>
      </c>
      <c r="S58" s="67">
        <f>(1-$C$16)*(S52*'Navy - Time on Station'!$J$15*Technologies!$E$17+Campaign!S53*'Marine Corps - Heavy Lift'!$H$40*IF('Marine Corps - Heavy Lift'!$B$3="CH-53E",Technologies!$B$17,Technologies!$C$17)+(Campaign!S54*'Army Troop Mvnt - Mission Time'!$H$38+Campaign!S55*'Army Air Assault - Mission Time'!$H$38+Campaign!S56*'Air Force CSAR'!$E$20)*Technologies!$D$17)+R58</f>
        <v>6698295.494082083</v>
      </c>
      <c r="T58" s="67">
        <f>(1-$C$16)*(T52*'Navy - Time on Station'!$J$15*Technologies!$E$17+Campaign!T53*'Marine Corps - Heavy Lift'!$H$40*IF('Marine Corps - Heavy Lift'!$B$3="CH-53E",Technologies!$B$17,Technologies!$C$17)+(Campaign!T54*'Army Troop Mvnt - Mission Time'!$H$38+Campaign!T55*'Army Air Assault - Mission Time'!$H$38+Campaign!T56*'Air Force CSAR'!$E$20)*Technologies!$D$17)+S58</f>
        <v>6837858.631782083</v>
      </c>
      <c r="U58" s="67">
        <f>(1-$C$16)*(U52*'Navy - Time on Station'!$J$15*Technologies!$E$17+Campaign!U53*'Marine Corps - Heavy Lift'!$H$40*IF('Marine Corps - Heavy Lift'!$B$3="CH-53E",Technologies!$B$17,Technologies!$C$17)+(Campaign!U54*'Army Troop Mvnt - Mission Time'!$H$38+Campaign!U55*'Army Air Assault - Mission Time'!$H$38+Campaign!U56*'Air Force CSAR'!$E$20)*Technologies!$D$17)+T58</f>
        <v>7217664.900974888</v>
      </c>
      <c r="V58" s="67">
        <f>(1-$C$16)*(V52*'Navy - Time on Station'!$J$15*Technologies!$E$17+Campaign!V53*'Marine Corps - Heavy Lift'!$H$40*IF('Marine Corps - Heavy Lift'!$B$3="CH-53E",Technologies!$B$17,Technologies!$C$17)+(Campaign!V54*'Army Troop Mvnt - Mission Time'!$H$38+Campaign!V55*'Army Air Assault - Mission Time'!$H$38+Campaign!V56*'Air Force CSAR'!$E$20)*Technologies!$D$17)+U58</f>
        <v>7677552.21399863</v>
      </c>
      <c r="W58" s="67">
        <f>(1-$C$16)*(W52*'Navy - Time on Station'!$J$15*Technologies!$E$17+Campaign!W53*'Marine Corps - Heavy Lift'!$H$40*IF('Marine Corps - Heavy Lift'!$B$3="CH-53E",Technologies!$B$17,Technologies!$C$17)+(Campaign!W54*'Army Troop Mvnt - Mission Time'!$H$38+Campaign!W55*'Army Air Assault - Mission Time'!$H$38+Campaign!W56*'Air Force CSAR'!$E$20)*Technologies!$D$17)+V58</f>
        <v>8917059.841218447</v>
      </c>
      <c r="X58" s="89"/>
    </row>
    <row r="59" spans="1:23" s="68" customFormat="1" ht="12">
      <c r="A59" s="116"/>
      <c r="B59" s="68" t="str">
        <f>B58</f>
        <v>Combined w/ Removal of Driveshaft</v>
      </c>
      <c r="C59" s="69">
        <f aca="true" t="shared" si="13" ref="C59:W59">$C$17/6.75*C58</f>
        <v>465085.82377505995</v>
      </c>
      <c r="D59" s="69">
        <f t="shared" si="13"/>
        <v>3469206.33237747</v>
      </c>
      <c r="E59" s="69">
        <f t="shared" si="13"/>
        <v>4454506.312353969</v>
      </c>
      <c r="F59" s="69">
        <f t="shared" si="13"/>
        <v>5373112.169740539</v>
      </c>
      <c r="G59" s="69">
        <f t="shared" si="13"/>
        <v>6150548.800978429</v>
      </c>
      <c r="H59" s="69">
        <f t="shared" si="13"/>
        <v>9137717.8867559</v>
      </c>
      <c r="I59" s="69">
        <f t="shared" si="13"/>
        <v>9760924.35950458</v>
      </c>
      <c r="J59" s="69">
        <f t="shared" si="13"/>
        <v>10384130.832253262</v>
      </c>
      <c r="K59" s="69">
        <f t="shared" si="13"/>
        <v>10672755.123342471</v>
      </c>
      <c r="L59" s="69">
        <f t="shared" si="13"/>
        <v>10851612.004335757</v>
      </c>
      <c r="M59" s="69">
        <f t="shared" si="13"/>
        <v>11120400.269535758</v>
      </c>
      <c r="N59" s="69">
        <f t="shared" si="13"/>
        <v>11389188.534735756</v>
      </c>
      <c r="O59" s="69">
        <f t="shared" si="13"/>
        <v>11825267.890765494</v>
      </c>
      <c r="P59" s="69">
        <f t="shared" si="13"/>
        <v>12094056.155965494</v>
      </c>
      <c r="Q59" s="69">
        <f t="shared" si="13"/>
        <v>12362844.421165492</v>
      </c>
      <c r="R59" s="69">
        <f t="shared" si="13"/>
        <v>12631632.686365493</v>
      </c>
      <c r="S59" s="69">
        <f t="shared" si="13"/>
        <v>12900420.951565493</v>
      </c>
      <c r="T59" s="69">
        <f t="shared" si="13"/>
        <v>13169209.216765491</v>
      </c>
      <c r="U59" s="69">
        <f t="shared" si="13"/>
        <v>13900687.957433118</v>
      </c>
      <c r="V59" s="69">
        <f t="shared" si="13"/>
        <v>14786396.856589952</v>
      </c>
      <c r="W59" s="69">
        <f t="shared" si="13"/>
        <v>17173596.731235527</v>
      </c>
    </row>
  </sheetData>
  <sheetProtection/>
  <mergeCells count="5">
    <mergeCell ref="A58:A59"/>
    <mergeCell ref="E16:Q16"/>
    <mergeCell ref="A48:B48"/>
    <mergeCell ref="A11:A12"/>
    <mergeCell ref="A26:A27"/>
  </mergeCells>
  <dataValidations count="1">
    <dataValidation type="list" allowBlank="1" showInputMessage="1" showErrorMessage="1" sqref="B16">
      <formula1>Technologies</formula1>
    </dataValidation>
  </dataValidations>
  <printOptions/>
  <pageMargins left="0.7" right="0.7" top="0.75" bottom="0.75" header="0.3" footer="0.3"/>
  <pageSetup horizontalDpi="200" verticalDpi="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zoomScale="70" zoomScaleNormal="70" zoomScalePageLayoutView="70" workbookViewId="0" topLeftCell="A1">
      <selection activeCell="F33" sqref="F33"/>
    </sheetView>
  </sheetViews>
  <sheetFormatPr defaultColWidth="8.8515625" defaultRowHeight="15"/>
  <cols>
    <col min="1" max="1" width="30.421875" style="0" customWidth="1"/>
    <col min="2" max="2" width="12.421875" style="11" customWidth="1"/>
    <col min="3" max="3" width="7.421875" style="0" customWidth="1"/>
    <col min="4" max="4" width="12.421875" style="11" customWidth="1"/>
    <col min="5" max="5" width="5.421875" style="0" customWidth="1"/>
    <col min="6" max="6" width="12.421875" style="11" customWidth="1"/>
    <col min="7" max="7" width="3.7109375" style="0" customWidth="1"/>
    <col min="8" max="8" width="10.140625" style="23" customWidth="1"/>
    <col min="9" max="9" width="16.7109375" style="0" customWidth="1"/>
    <col min="10" max="10" width="25.140625" style="0" customWidth="1"/>
    <col min="11" max="11" width="10.421875" style="115" customWidth="1"/>
    <col min="12" max="12" width="8.8515625" style="0" customWidth="1"/>
    <col min="13" max="13" width="25.140625" style="0" customWidth="1"/>
    <col min="14" max="14" width="10.421875" style="115" customWidth="1"/>
    <col min="15" max="15" width="8.8515625" style="0" customWidth="1"/>
    <col min="16" max="16" width="25.140625" style="0" customWidth="1"/>
    <col min="17" max="17" width="10.421875" style="115" customWidth="1"/>
  </cols>
  <sheetData>
    <row r="1" spans="1:17" ht="18.75">
      <c r="A1" s="126" t="s">
        <v>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ht="15.75" thickBot="1"/>
    <row r="3" spans="1:17" ht="15.75" thickBot="1">
      <c r="A3" t="s">
        <v>108</v>
      </c>
      <c r="B3" s="100" t="s">
        <v>101</v>
      </c>
      <c r="D3" s="100" t="s">
        <v>102</v>
      </c>
      <c r="F3" s="100" t="s">
        <v>85</v>
      </c>
      <c r="J3" t="s">
        <v>109</v>
      </c>
      <c r="K3" s="115" t="str">
        <f>B3</f>
        <v>UH-60A</v>
      </c>
      <c r="M3" t="s">
        <v>109</v>
      </c>
      <c r="N3" s="115" t="str">
        <f>D3</f>
        <v>UH-60M</v>
      </c>
      <c r="P3" t="s">
        <v>109</v>
      </c>
      <c r="Q3" s="115" t="str">
        <f>F3</f>
        <v>UH-60L</v>
      </c>
    </row>
    <row r="4" spans="10:17" ht="15.75" thickBot="1">
      <c r="J4" s="7" t="s">
        <v>87</v>
      </c>
      <c r="K4" s="56" t="str">
        <f>HLOOKUP(B3,Reference!$B$2:$L$13,2,FALSE)</f>
        <v>Movement/Assault</v>
      </c>
      <c r="M4" s="7" t="s">
        <v>87</v>
      </c>
      <c r="N4" s="56" t="str">
        <f>HLOOKUP($D$3,Reference!$B$2:$L$13,2,FALSE)</f>
        <v>Movement/Assault</v>
      </c>
      <c r="P4" s="7" t="s">
        <v>87</v>
      </c>
      <c r="Q4" s="56" t="str">
        <f>HLOOKUP(F3,Reference!$B$2:$L$13,2,FALSE)</f>
        <v>Movement/Assault</v>
      </c>
    </row>
    <row r="5" spans="1:17" ht="15.75" thickBot="1">
      <c r="A5" t="s">
        <v>137</v>
      </c>
      <c r="B5" s="101">
        <v>13</v>
      </c>
      <c r="D5" s="22">
        <v>13</v>
      </c>
      <c r="F5" s="22">
        <v>13</v>
      </c>
      <c r="J5" s="7" t="s">
        <v>94</v>
      </c>
      <c r="K5" s="8">
        <f>HLOOKUP(B3,Reference!B2:L13,3,FALSE)</f>
        <v>11284</v>
      </c>
      <c r="M5" s="7" t="s">
        <v>94</v>
      </c>
      <c r="N5" s="56">
        <f>HLOOKUP($D$3,Reference!$B$2:$L$13,3,FALSE)</f>
        <v>0</v>
      </c>
      <c r="P5" s="7" t="s">
        <v>94</v>
      </c>
      <c r="Q5" s="56">
        <f>HLOOKUP(F3,Reference!$B$2:$L$13,3,FALSE)</f>
        <v>11516</v>
      </c>
    </row>
    <row r="6" spans="1:17" ht="15.75" thickBot="1">
      <c r="A6" t="s">
        <v>111</v>
      </c>
      <c r="B6" s="33" t="s">
        <v>122</v>
      </c>
      <c r="D6" s="21" t="s">
        <v>122</v>
      </c>
      <c r="F6" s="21" t="s">
        <v>122</v>
      </c>
      <c r="J6" s="7" t="s">
        <v>95</v>
      </c>
      <c r="K6" s="8">
        <f>HLOOKUP(B3,Reference!B2:L13,4,FALSE)</f>
        <v>22000</v>
      </c>
      <c r="M6" s="7" t="s">
        <v>95</v>
      </c>
      <c r="N6" s="56">
        <f>HLOOKUP($D$3,Reference!$B$2:$L$13,4,FALSE)</f>
        <v>0</v>
      </c>
      <c r="P6" s="7" t="s">
        <v>95</v>
      </c>
      <c r="Q6" s="56">
        <f>HLOOKUP(F3,Reference!$B$2:$L$13,4,FALSE)</f>
        <v>0</v>
      </c>
    </row>
    <row r="7" spans="2:17" ht="15.75" thickBot="1">
      <c r="B7" s="13"/>
      <c r="D7" s="13"/>
      <c r="F7" s="13"/>
      <c r="J7" s="7" t="s">
        <v>103</v>
      </c>
      <c r="K7" s="8">
        <f>HLOOKUP(B3,Reference!B2:L13,5,FALSE)</f>
        <v>11</v>
      </c>
      <c r="M7" s="7" t="s">
        <v>103</v>
      </c>
      <c r="N7" s="56">
        <f>HLOOKUP($D$3,Reference!$B$2:$L$13,5,FALSE)</f>
        <v>11</v>
      </c>
      <c r="P7" s="7" t="s">
        <v>103</v>
      </c>
      <c r="Q7" s="56">
        <f>HLOOKUP(F3,Reference!$B$2:$L$13,5,FALSE)</f>
        <v>11</v>
      </c>
    </row>
    <row r="8" spans="1:17" ht="15.75" thickBot="1">
      <c r="A8" t="s">
        <v>124</v>
      </c>
      <c r="B8" s="100" t="s">
        <v>132</v>
      </c>
      <c r="D8" s="100" t="s">
        <v>132</v>
      </c>
      <c r="F8" s="100" t="s">
        <v>132</v>
      </c>
      <c r="J8" s="7" t="s">
        <v>100</v>
      </c>
      <c r="K8" s="8">
        <f>HLOOKUP(B3,Reference!B2:L13,6,FALSE)</f>
        <v>2430</v>
      </c>
      <c r="M8" s="7" t="s">
        <v>100</v>
      </c>
      <c r="N8" s="56">
        <f>HLOOKUP($D$3,Reference!$B$2:$L$13,6,FALSE)</f>
        <v>2430</v>
      </c>
      <c r="P8" s="7" t="s">
        <v>100</v>
      </c>
      <c r="Q8" s="56">
        <f>HLOOKUP(F3,Reference!$B$2:$L$13,6,FALSE)</f>
        <v>2430</v>
      </c>
    </row>
    <row r="9" spans="1:17" ht="15.75" thickBot="1">
      <c r="A9" t="s">
        <v>123</v>
      </c>
      <c r="B9" s="100">
        <v>15</v>
      </c>
      <c r="D9" s="100">
        <v>8</v>
      </c>
      <c r="F9" s="100">
        <v>5</v>
      </c>
      <c r="J9" s="9" t="s">
        <v>106</v>
      </c>
      <c r="K9" s="10">
        <f>HLOOKUP(B3,Reference!B2:L13,7,FALSE)</f>
        <v>2.5</v>
      </c>
      <c r="M9" s="9" t="s">
        <v>106</v>
      </c>
      <c r="N9" s="56">
        <f>HLOOKUP($D$3,Reference!$B$2:$L$13,7,FALSE)</f>
        <v>2.5</v>
      </c>
      <c r="P9" s="9" t="s">
        <v>106</v>
      </c>
      <c r="Q9" s="56">
        <f>HLOOKUP(F3,Reference!$B$2:$L$13,7,FALSE)</f>
        <v>2.5</v>
      </c>
    </row>
    <row r="10" spans="1:17" ht="15.75" thickBot="1">
      <c r="A10" t="s">
        <v>20</v>
      </c>
      <c r="B10" s="100" t="s">
        <v>34</v>
      </c>
      <c r="D10" s="100" t="s">
        <v>91</v>
      </c>
      <c r="F10" s="100" t="s">
        <v>35</v>
      </c>
      <c r="J10" s="9" t="s">
        <v>107</v>
      </c>
      <c r="K10" s="8">
        <f>HLOOKUP(B3,Reference!B2:L13,8,FALSE)</f>
        <v>319</v>
      </c>
      <c r="M10" s="9" t="s">
        <v>107</v>
      </c>
      <c r="N10" s="56">
        <f>HLOOKUP($D$3,Reference!$B$2:$L$13,8,FALSE)</f>
        <v>319</v>
      </c>
      <c r="P10" s="9" t="s">
        <v>107</v>
      </c>
      <c r="Q10" s="56">
        <f>HLOOKUP(F3,Reference!$B$2:$L$13,8,FALSE)</f>
        <v>319</v>
      </c>
    </row>
    <row r="11" spans="1:17" ht="15.75" thickBot="1">
      <c r="A11" t="s">
        <v>175</v>
      </c>
      <c r="B11" s="100">
        <v>215</v>
      </c>
      <c r="D11" s="100">
        <v>215</v>
      </c>
      <c r="F11" s="100">
        <v>215</v>
      </c>
      <c r="J11" s="7" t="s">
        <v>96</v>
      </c>
      <c r="K11" s="8">
        <f>HLOOKUP(B3,Reference!B2:L13,9,FALSE)</f>
        <v>139</v>
      </c>
      <c r="M11" s="7" t="s">
        <v>96</v>
      </c>
      <c r="N11" s="56">
        <v>139</v>
      </c>
      <c r="P11" s="7" t="s">
        <v>96</v>
      </c>
      <c r="Q11" s="56">
        <v>139</v>
      </c>
    </row>
    <row r="12" spans="1:17" ht="15.75" thickBot="1">
      <c r="A12" t="s">
        <v>135</v>
      </c>
      <c r="B12" s="102">
        <v>0.1</v>
      </c>
      <c r="D12" s="102">
        <v>0.1</v>
      </c>
      <c r="F12" s="102">
        <v>0.1</v>
      </c>
      <c r="J12" s="7" t="s">
        <v>97</v>
      </c>
      <c r="K12" s="8">
        <f>HLOOKUP(B3,Reference!B2:L13,10,FALSE)</f>
        <v>1081</v>
      </c>
      <c r="M12" s="7" t="s">
        <v>97</v>
      </c>
      <c r="N12" s="56">
        <f>HLOOKUP($D$3,Reference!$B$2:$L$13,10,FALSE)</f>
        <v>1152</v>
      </c>
      <c r="P12" s="7" t="s">
        <v>97</v>
      </c>
      <c r="Q12" s="56">
        <f>HLOOKUP(F3,Reference!$B$2:$L$13,10,FALSE)</f>
        <v>1081</v>
      </c>
    </row>
    <row r="13" spans="1:17" ht="15.75" thickBot="1">
      <c r="A13" t="s">
        <v>0</v>
      </c>
      <c r="B13" s="100">
        <v>0.5</v>
      </c>
      <c r="D13" s="100">
        <v>0.5</v>
      </c>
      <c r="F13" s="100">
        <v>0.5</v>
      </c>
      <c r="J13" s="7" t="s">
        <v>98</v>
      </c>
      <c r="K13" s="8">
        <f>HLOOKUP(B3,Reference!B2:L13,11,FALSE)</f>
        <v>6.75</v>
      </c>
      <c r="M13" s="7" t="s">
        <v>98</v>
      </c>
      <c r="N13" s="56">
        <f>HLOOKUP($D$3,Reference!$B$2:$L$13,11,FALSE)</f>
        <v>6.75</v>
      </c>
      <c r="P13" s="7" t="s">
        <v>98</v>
      </c>
      <c r="Q13" s="56">
        <f>HLOOKUP(F3,Reference!$B$2:$L$13,11,FALSE)</f>
        <v>6.75</v>
      </c>
    </row>
    <row r="14" spans="2:17" ht="33.75" customHeight="1">
      <c r="B14" s="13"/>
      <c r="D14" s="13"/>
      <c r="F14" s="13"/>
      <c r="J14" s="7" t="s">
        <v>104</v>
      </c>
      <c r="K14" s="8" t="str">
        <f>HLOOKUP(B3,Reference!B2:L13,12,FALSE)</f>
        <v>Sea Level</v>
      </c>
      <c r="M14" s="7" t="s">
        <v>104</v>
      </c>
      <c r="N14" s="56" t="str">
        <f>HLOOKUP($D$3,Reference!$B$2:$L$13,12,FALSE)</f>
        <v>Sea Level</v>
      </c>
      <c r="P14" s="7" t="s">
        <v>104</v>
      </c>
      <c r="Q14" s="56" t="str">
        <f>HLOOKUP(F3,Reference!$B$2:$L$13,12,FALSE)</f>
        <v>Sea Level</v>
      </c>
    </row>
    <row r="15" spans="1:6" ht="15.75" thickBot="1">
      <c r="A15" t="s">
        <v>22</v>
      </c>
      <c r="B15" s="13"/>
      <c r="D15" s="13"/>
      <c r="F15" s="13"/>
    </row>
    <row r="16" spans="1:17" ht="15.75" thickBot="1">
      <c r="A16" s="35" t="s">
        <v>8</v>
      </c>
      <c r="B16" s="36" t="s">
        <v>34</v>
      </c>
      <c r="C16" s="37"/>
      <c r="D16" s="36" t="s">
        <v>7</v>
      </c>
      <c r="E16" s="37"/>
      <c r="F16" s="36" t="s">
        <v>33</v>
      </c>
      <c r="G16" s="37"/>
      <c r="H16" s="38"/>
      <c r="K16"/>
      <c r="N16"/>
      <c r="Q16"/>
    </row>
    <row r="17" spans="1:17" ht="15.75" thickBot="1">
      <c r="A17" s="39" t="s">
        <v>11</v>
      </c>
      <c r="B17" s="36">
        <f>K11</f>
        <v>139</v>
      </c>
      <c r="C17" s="40"/>
      <c r="D17" s="36">
        <f>N11</f>
        <v>139</v>
      </c>
      <c r="E17" s="40"/>
      <c r="F17" s="36">
        <f>Q11</f>
        <v>139</v>
      </c>
      <c r="G17" s="40"/>
      <c r="H17" s="41"/>
      <c r="K17"/>
      <c r="N17"/>
      <c r="Q17"/>
    </row>
    <row r="18" spans="1:17" ht="15">
      <c r="A18" s="39" t="s">
        <v>15</v>
      </c>
      <c r="B18" s="42">
        <f>IF(B$6="Gallons",B$11/B17*$K$12/$K$13,B$11/B17*$K$12)</f>
        <v>1672.0503597122301</v>
      </c>
      <c r="C18" s="42"/>
      <c r="D18" s="42">
        <f>IF(D$6="Gallons",D$11/D17*N12/$K$13,D$11/D17*N12)</f>
        <v>1781.8705035971223</v>
      </c>
      <c r="E18" s="42"/>
      <c r="F18" s="42">
        <f>IF(F$6="Gallons",F$11/F17*Q12/$K$13,F$11/F17*Q12)</f>
        <v>1672.0503597122301</v>
      </c>
      <c r="G18" s="40"/>
      <c r="H18" s="41"/>
      <c r="K18"/>
      <c r="N18"/>
      <c r="Q18"/>
    </row>
    <row r="19" spans="1:17" ht="15">
      <c r="A19" s="43" t="s">
        <v>112</v>
      </c>
      <c r="B19" s="34">
        <f>IF(B6="Gallons",$K$12/$K$13/B17,$K$12/B17)</f>
        <v>7.776978417266187</v>
      </c>
      <c r="C19" s="34"/>
      <c r="D19" s="34">
        <f>IF(D6="Gallons",N12/$K$13/D17,N12/D17)</f>
        <v>8.287769784172662</v>
      </c>
      <c r="E19" s="34"/>
      <c r="F19" s="34">
        <f>IF(F6="Gallons",Q12/$K$13/F17,Q12/F17)</f>
        <v>7.776978417266187</v>
      </c>
      <c r="G19" s="40"/>
      <c r="H19" s="41"/>
      <c r="K19"/>
      <c r="N19"/>
      <c r="Q19"/>
    </row>
    <row r="20" spans="1:17" ht="15">
      <c r="A20" s="43" t="s">
        <v>113</v>
      </c>
      <c r="B20" s="34">
        <f>$K$12</f>
        <v>1081</v>
      </c>
      <c r="C20" s="34"/>
      <c r="D20" s="34">
        <f>N12</f>
        <v>1152</v>
      </c>
      <c r="E20" s="34"/>
      <c r="F20" s="34">
        <f>Q12</f>
        <v>1081</v>
      </c>
      <c r="G20" s="40"/>
      <c r="H20" s="41"/>
      <c r="K20"/>
      <c r="N20"/>
      <c r="Q20"/>
    </row>
    <row r="21" spans="1:17" ht="15">
      <c r="A21" s="39" t="s">
        <v>16</v>
      </c>
      <c r="B21" s="42">
        <f>B$11/B17</f>
        <v>1.5467625899280575</v>
      </c>
      <c r="C21" s="42"/>
      <c r="D21" s="42">
        <f>D$11/D17</f>
        <v>1.5467625899280575</v>
      </c>
      <c r="E21" s="42"/>
      <c r="F21" s="42">
        <f>F$11/F17</f>
        <v>1.5467625899280575</v>
      </c>
      <c r="G21" s="40"/>
      <c r="H21" s="41"/>
      <c r="K21"/>
      <c r="N21"/>
      <c r="Q21"/>
    </row>
    <row r="22" spans="1:17" ht="15">
      <c r="A22" s="39" t="s">
        <v>138</v>
      </c>
      <c r="B22" s="42">
        <f>IF(B23&gt;(B21+B30),"N/A",B13)</f>
        <v>0.5</v>
      </c>
      <c r="C22" s="42"/>
      <c r="D22" s="42">
        <f>IF(D23&gt;(D21+D30),"N/A",D13)</f>
        <v>0.5</v>
      </c>
      <c r="E22" s="42"/>
      <c r="F22" s="42">
        <f>IF(F23&gt;(F21+F30),"N/A",F13)</f>
        <v>0.5</v>
      </c>
      <c r="G22" s="40"/>
      <c r="H22" s="41"/>
      <c r="K22"/>
      <c r="N22"/>
      <c r="Q22"/>
    </row>
    <row r="23" spans="1:17" ht="15">
      <c r="A23" s="39" t="s">
        <v>120</v>
      </c>
      <c r="B23" s="42">
        <f>$K$8*(1-B12)/$K$12</f>
        <v>2.023126734505088</v>
      </c>
      <c r="C23" s="42"/>
      <c r="D23" s="42">
        <f>$K$8*(1-D12)/N12</f>
        <v>1.8984375</v>
      </c>
      <c r="E23" s="42"/>
      <c r="F23" s="42">
        <f>$K$8*(1-F12)/Q12</f>
        <v>2.023126734505088</v>
      </c>
      <c r="G23" s="40"/>
      <c r="H23" s="41"/>
      <c r="K23"/>
      <c r="N23"/>
      <c r="Q23"/>
    </row>
    <row r="24" spans="1:17" ht="15.75" thickBot="1">
      <c r="A24" s="43"/>
      <c r="B24" s="44"/>
      <c r="C24" s="40"/>
      <c r="D24" s="44"/>
      <c r="E24" s="40"/>
      <c r="F24" s="44"/>
      <c r="G24" s="40"/>
      <c r="H24" s="41"/>
      <c r="K24"/>
      <c r="N24"/>
      <c r="Q24"/>
    </row>
    <row r="25" spans="1:17" ht="15.75" thickBot="1">
      <c r="A25" s="39" t="s">
        <v>9</v>
      </c>
      <c r="B25" s="36" t="s">
        <v>10</v>
      </c>
      <c r="C25" s="40"/>
      <c r="D25" s="36" t="s">
        <v>10</v>
      </c>
      <c r="E25" s="40"/>
      <c r="F25" s="36" t="s">
        <v>10</v>
      </c>
      <c r="G25" s="40"/>
      <c r="H25" s="41"/>
      <c r="K25"/>
      <c r="N25"/>
      <c r="Q25"/>
    </row>
    <row r="26" spans="1:17" ht="15.75" thickBot="1">
      <c r="A26" s="39" t="s">
        <v>12</v>
      </c>
      <c r="B26" s="36">
        <f>B17</f>
        <v>139</v>
      </c>
      <c r="C26" s="40"/>
      <c r="D26" s="36">
        <f>D17</f>
        <v>139</v>
      </c>
      <c r="E26" s="40"/>
      <c r="F26" s="36">
        <f>F17</f>
        <v>139</v>
      </c>
      <c r="G26" s="40"/>
      <c r="H26" s="41"/>
      <c r="K26"/>
      <c r="N26"/>
      <c r="Q26"/>
    </row>
    <row r="27" spans="1:17" ht="15">
      <c r="A27" s="39" t="s">
        <v>17</v>
      </c>
      <c r="B27" s="42">
        <f>IF(B$6="Gallons",B$11/B26*$K$12/$K$13,B$11/B26*$K$12)</f>
        <v>1672.0503597122301</v>
      </c>
      <c r="C27" s="42"/>
      <c r="D27" s="42">
        <f>IF(D$6="Gallons",D$11/D26*N12/$K$13,D$11/D26*N12)</f>
        <v>1781.8705035971223</v>
      </c>
      <c r="E27" s="42"/>
      <c r="F27" s="42">
        <f>IF(F$6="Gallons",F$11/F26*Q12/$K$13,F$11/F26*Q12)</f>
        <v>1672.0503597122301</v>
      </c>
      <c r="G27" s="40"/>
      <c r="H27" s="41"/>
      <c r="K27"/>
      <c r="N27"/>
      <c r="Q27"/>
    </row>
    <row r="28" spans="1:17" ht="15">
      <c r="A28" s="43" t="s">
        <v>112</v>
      </c>
      <c r="B28" s="34">
        <f>IF(B16="Gallons",$K$12/$K$13/B26,$K$12/B26)</f>
        <v>7.776978417266187</v>
      </c>
      <c r="C28" s="34"/>
      <c r="D28" s="34">
        <f>IF(D16="Gallons",N12/$K$13/D26,N12/D26)</f>
        <v>8.287769784172662</v>
      </c>
      <c r="E28" s="34"/>
      <c r="F28" s="34">
        <f>IF(F16="Gallons",Q12/$K$13/F26,Q12/F26)</f>
        <v>7.776978417266187</v>
      </c>
      <c r="G28" s="40"/>
      <c r="H28" s="41"/>
      <c r="K28"/>
      <c r="N28"/>
      <c r="Q28"/>
    </row>
    <row r="29" spans="1:17" ht="15">
      <c r="A29" s="43" t="s">
        <v>113</v>
      </c>
      <c r="B29" s="34">
        <f>$K$12</f>
        <v>1081</v>
      </c>
      <c r="C29" s="34"/>
      <c r="D29" s="34">
        <f>N12</f>
        <v>1152</v>
      </c>
      <c r="E29" s="34"/>
      <c r="F29" s="34">
        <f>Q12</f>
        <v>1081</v>
      </c>
      <c r="G29" s="40"/>
      <c r="H29" s="41"/>
      <c r="K29"/>
      <c r="N29"/>
      <c r="Q29"/>
    </row>
    <row r="30" spans="1:17" ht="15">
      <c r="A30" s="39" t="s">
        <v>18</v>
      </c>
      <c r="B30" s="42">
        <f>B$11/B26</f>
        <v>1.5467625899280575</v>
      </c>
      <c r="C30" s="42"/>
      <c r="D30" s="42">
        <f>D$11/D26</f>
        <v>1.5467625899280575</v>
      </c>
      <c r="E30" s="42"/>
      <c r="F30" s="42">
        <f>F$11/F26</f>
        <v>1.5467625899280575</v>
      </c>
      <c r="G30" s="40"/>
      <c r="H30" s="41"/>
      <c r="K30"/>
      <c r="N30"/>
      <c r="Q30"/>
    </row>
    <row r="31" spans="1:17" ht="15">
      <c r="A31" s="39" t="s">
        <v>138</v>
      </c>
      <c r="B31" s="42" t="str">
        <f>IF(B32&gt;B30,"N/A",B30/B32)</f>
        <v>N/A</v>
      </c>
      <c r="C31" s="42"/>
      <c r="D31" s="42" t="str">
        <f>IF(D32&gt;D30,"N/A",D30/D32)</f>
        <v>N/A</v>
      </c>
      <c r="E31" s="42"/>
      <c r="F31" s="42" t="str">
        <f>IF(F32&gt;F30,"N/A",F30/F32)</f>
        <v>N/A</v>
      </c>
      <c r="G31" s="40"/>
      <c r="H31" s="41"/>
      <c r="K31"/>
      <c r="N31"/>
      <c r="Q31"/>
    </row>
    <row r="32" spans="1:17" ht="15.75" thickBot="1">
      <c r="A32" s="45" t="s">
        <v>120</v>
      </c>
      <c r="B32" s="46">
        <f>$K$8*(1-B12)/$K$12</f>
        <v>2.023126734505088</v>
      </c>
      <c r="C32" s="46"/>
      <c r="D32" s="46">
        <f>$K$8*(1-D12)/N12</f>
        <v>1.8984375</v>
      </c>
      <c r="E32" s="46"/>
      <c r="F32" s="46">
        <f>$K$8*(1-F12)/Q12</f>
        <v>2.023126734505088</v>
      </c>
      <c r="G32" s="47"/>
      <c r="H32" s="48"/>
      <c r="K32"/>
      <c r="N32"/>
      <c r="Q32"/>
    </row>
    <row r="33" spans="1:6" ht="15">
      <c r="A33" s="6"/>
      <c r="B33" s="13"/>
      <c r="D33" s="13"/>
      <c r="F33" s="13"/>
    </row>
    <row r="34" spans="1:6" ht="15">
      <c r="A34" s="6"/>
      <c r="B34" s="13"/>
      <c r="D34" s="13"/>
      <c r="F34" s="13"/>
    </row>
    <row r="35" spans="1:6" ht="15">
      <c r="A35" s="6"/>
      <c r="B35" s="13"/>
      <c r="D35" s="13"/>
      <c r="F35" s="13"/>
    </row>
    <row r="36" spans="1:6" ht="15.75" thickBot="1">
      <c r="A36" s="6"/>
      <c r="B36" s="13"/>
      <c r="D36" s="13"/>
      <c r="F36" s="13"/>
    </row>
    <row r="37" ht="15.75" thickBot="1">
      <c r="H37" s="24"/>
    </row>
    <row r="38" spans="1:9" ht="15.75" thickBot="1">
      <c r="A38" t="s">
        <v>110</v>
      </c>
      <c r="B38" s="14">
        <f>(B18+B27)*B9</f>
        <v>50161.510791366905</v>
      </c>
      <c r="D38" s="14">
        <f>(D18+D27)*D9</f>
        <v>28509.928057553956</v>
      </c>
      <c r="F38" s="14">
        <f>(F18+F27)*F9</f>
        <v>16720.5035971223</v>
      </c>
      <c r="H38" s="49">
        <f>SUM(B38:F38)</f>
        <v>95391.94244604316</v>
      </c>
      <c r="I38" t="str">
        <f>IF($B$6="Gallons","Gallons Expended","Pounds Expended")</f>
        <v>Pounds Expended</v>
      </c>
    </row>
    <row r="39" spans="1:8" ht="15">
      <c r="A39" s="6" t="s">
        <v>24</v>
      </c>
      <c r="B39" s="18">
        <f>AVERAGE(B19,B28)</f>
        <v>7.776978417266187</v>
      </c>
      <c r="C39" s="17"/>
      <c r="D39" s="18">
        <f>AVERAGE(D19,D28)</f>
        <v>8.287769784172662</v>
      </c>
      <c r="E39" s="17"/>
      <c r="F39" s="18">
        <f>AVERAGE(F19,F28)</f>
        <v>7.776978417266187</v>
      </c>
      <c r="H39" s="26"/>
    </row>
    <row r="40" spans="1:8" ht="15">
      <c r="A40" s="6" t="s">
        <v>25</v>
      </c>
      <c r="B40" s="18">
        <f>AVERAGE(B20,B29)</f>
        <v>1081</v>
      </c>
      <c r="C40" s="19"/>
      <c r="D40" s="18">
        <f>AVERAGE(D20,D29)</f>
        <v>1152</v>
      </c>
      <c r="E40" s="19"/>
      <c r="F40" s="18">
        <f>AVERAGE(F20,F29)</f>
        <v>1081</v>
      </c>
      <c r="H40" s="26"/>
    </row>
    <row r="41" ht="15.75" thickBot="1">
      <c r="H41" s="26"/>
    </row>
    <row r="42" spans="1:9" ht="15.75" thickBot="1">
      <c r="A42" t="s">
        <v>115</v>
      </c>
      <c r="B42" s="55">
        <f>IF($B$6="Gallons",B38*$B$5,$B$5/$K$13*B38)</f>
        <v>96607.35411670663</v>
      </c>
      <c r="C42" s="51"/>
      <c r="D42" s="55">
        <f>IF($B$6="Gallons",D38*$B$5,$B$5/$K$13*D38)</f>
        <v>54908.00959232613</v>
      </c>
      <c r="E42" s="51"/>
      <c r="F42" s="55">
        <f>IF($B$6="Gallons",F38*$B$5,$B$5/$K$13*F38)</f>
        <v>32202.45137223554</v>
      </c>
      <c r="H42" s="27">
        <f>SUM(B42:F42)</f>
        <v>183717.81508126832</v>
      </c>
      <c r="I42" t="s">
        <v>2</v>
      </c>
    </row>
    <row r="43" spans="1:8" ht="15">
      <c r="A43" s="6" t="s">
        <v>28</v>
      </c>
      <c r="B43" s="53">
        <f>B42/(B11*B9)</f>
        <v>29.955768718358645</v>
      </c>
      <c r="C43" s="54"/>
      <c r="D43" s="53">
        <f>IF(D38&gt;0,D42/(D11*D9),0)</f>
        <v>31.923261390887287</v>
      </c>
      <c r="E43" s="54"/>
      <c r="F43" s="53">
        <f>IF(D38&gt;0,D42/(D11*D9),0)</f>
        <v>31.923261390887287</v>
      </c>
      <c r="H43" s="26"/>
    </row>
    <row r="44" spans="1:8" ht="15">
      <c r="A44" s="6" t="s">
        <v>29</v>
      </c>
      <c r="B44" s="53">
        <f>IF($B$6="Gallons",B40*B5,B40*B5/$K$13)</f>
        <v>2081.925925925926</v>
      </c>
      <c r="C44" s="54"/>
      <c r="D44" s="53">
        <f>IF($B$6="Gallons",D40*D5,D40*D5/$K$13)</f>
        <v>2218.6666666666665</v>
      </c>
      <c r="E44" s="54"/>
      <c r="F44" s="53">
        <f>IF($B$6="Gallons",F40*F5,F40*F5/$K$13)</f>
        <v>2081.925925925926</v>
      </c>
      <c r="H44" s="26"/>
    </row>
    <row r="45" ht="15.75" thickBot="1">
      <c r="H45" s="26"/>
    </row>
    <row r="46" spans="1:9" ht="15.75" thickBot="1">
      <c r="A46" t="s">
        <v>119</v>
      </c>
      <c r="B46" s="14">
        <f>B21+B30</f>
        <v>3.093525179856115</v>
      </c>
      <c r="D46" s="14">
        <f>D21+D30</f>
        <v>3.093525179856115</v>
      </c>
      <c r="F46" s="14">
        <f>F21+F30</f>
        <v>3.093525179856115</v>
      </c>
      <c r="H46" s="25">
        <f>SUM(B46:F46)</f>
        <v>9.280575539568344</v>
      </c>
      <c r="I46" t="s">
        <v>3</v>
      </c>
    </row>
    <row r="47" spans="1:9" ht="15.75" thickBot="1">
      <c r="A47" t="s">
        <v>138</v>
      </c>
      <c r="B47" s="14">
        <f>IF(B22="N/A","N/A",B22*B9)</f>
        <v>7.5</v>
      </c>
      <c r="C47" s="15"/>
      <c r="D47" s="14">
        <f>IF(D22="N/A","N/A",D22*D9)</f>
        <v>4</v>
      </c>
      <c r="E47" s="15"/>
      <c r="F47" s="14">
        <f>IF(F22="N/A","N/A",F22*F9)</f>
        <v>2.5</v>
      </c>
      <c r="H47" s="25">
        <f>SUM(B47:F47)</f>
        <v>14</v>
      </c>
      <c r="I47" t="s">
        <v>176</v>
      </c>
    </row>
    <row r="48" spans="1:8" ht="15.75" thickBot="1">
      <c r="A48" t="s">
        <v>120</v>
      </c>
      <c r="B48" s="14">
        <f>K8*(1-F12)/K12</f>
        <v>2.023126734505088</v>
      </c>
      <c r="D48" s="14">
        <f>D32</f>
        <v>1.8984375</v>
      </c>
      <c r="F48" s="14">
        <f>F32</f>
        <v>2.023126734505088</v>
      </c>
      <c r="H48" s="25">
        <f>SUM(B48:F48)</f>
        <v>5.944690969010176</v>
      </c>
    </row>
    <row r="49" spans="1:9" ht="15.75" thickBot="1">
      <c r="A49" t="s">
        <v>27</v>
      </c>
      <c r="B49" s="11">
        <f>B9/5*44</f>
        <v>132</v>
      </c>
      <c r="D49" s="11">
        <v>0</v>
      </c>
      <c r="F49" s="11">
        <v>0</v>
      </c>
      <c r="H49" s="49">
        <f>SUM(B49:F49)</f>
        <v>132</v>
      </c>
      <c r="I49" t="s">
        <v>174</v>
      </c>
    </row>
    <row r="52" ht="15.75" thickBot="1"/>
    <row r="53" spans="8:14" ht="18.75">
      <c r="H53" s="127" t="s">
        <v>144</v>
      </c>
      <c r="I53" s="128"/>
      <c r="J53" s="129"/>
      <c r="N53"/>
    </row>
    <row r="54" spans="8:14" ht="15">
      <c r="H54" s="107">
        <f>VLOOKUP(H53,Technologies!$A$2:$F$10,2,FALSE)</f>
        <v>0.05068</v>
      </c>
      <c r="I54" s="108">
        <f>IF(OR(H53=Technologies!$A$6,H53=Technologies!$A$7,H53=Technologies!$A$8,H53=Technologies!$A$14),VLOOKUP(H53,Technologies!$A$2:$C$15,3,FALSE),$B$5)</f>
        <v>3</v>
      </c>
      <c r="J54" s="109"/>
      <c r="N54"/>
    </row>
    <row r="55" spans="8:14" ht="15">
      <c r="H55" s="110">
        <f>(1-H54)*H38</f>
        <v>90557.47880287768</v>
      </c>
      <c r="I55" s="122" t="str">
        <f>I38</f>
        <v>Pounds Expended</v>
      </c>
      <c r="J55" s="123"/>
      <c r="N55" t="s">
        <v>169</v>
      </c>
    </row>
    <row r="56" spans="8:15" ht="15">
      <c r="H56" s="111"/>
      <c r="I56" s="108"/>
      <c r="J56" s="109"/>
      <c r="N56" t="s">
        <v>171</v>
      </c>
      <c r="O56" t="s">
        <v>172</v>
      </c>
    </row>
    <row r="57" spans="8:15" ht="15.75" thickBot="1">
      <c r="H57" s="113">
        <f>I54/$K$13*H55</f>
        <v>40247.768356834524</v>
      </c>
      <c r="I57" s="124" t="str">
        <f>I42</f>
        <v>$ Expended</v>
      </c>
      <c r="J57" s="125"/>
      <c r="M57" t="s">
        <v>80</v>
      </c>
      <c r="N57" s="114">
        <f>H38</f>
        <v>95391.94244604316</v>
      </c>
      <c r="O57" s="51">
        <f>H42</f>
        <v>183717.81508126832</v>
      </c>
    </row>
    <row r="58" spans="13:15" ht="15.75" thickBot="1">
      <c r="M58" t="str">
        <f>H53</f>
        <v>Algal Biofuel + Composite</v>
      </c>
      <c r="N58" s="114">
        <f>H55</f>
        <v>90557.47880287768</v>
      </c>
      <c r="O58" s="51">
        <f>H57</f>
        <v>40247.768356834524</v>
      </c>
    </row>
    <row r="59" spans="8:15" ht="15">
      <c r="H59" s="119" t="str">
        <f>IF(H53=Technologies!$A$3,"Driveshaft Removal Not Applicable","Also Remove Driveshaft")</f>
        <v>Also Remove Driveshaft</v>
      </c>
      <c r="I59" s="120"/>
      <c r="J59" s="121"/>
      <c r="M59" t="s">
        <v>170</v>
      </c>
      <c r="N59" s="114">
        <f>H61</f>
        <v>90318.99894676259</v>
      </c>
      <c r="O59" s="52">
        <f>H63</f>
        <v>40141.77730967226</v>
      </c>
    </row>
    <row r="60" spans="8:14" ht="15">
      <c r="H60" s="107">
        <f>H54+Technologies!$E$18</f>
        <v>0.053180000000000005</v>
      </c>
      <c r="I60" s="108">
        <f>I54</f>
        <v>3</v>
      </c>
      <c r="J60" s="109"/>
      <c r="N60"/>
    </row>
    <row r="61" spans="8:14" ht="15">
      <c r="H61" s="110">
        <f>(1-H60)*H38</f>
        <v>90318.99894676259</v>
      </c>
      <c r="I61" s="122" t="str">
        <f>I38</f>
        <v>Pounds Expended</v>
      </c>
      <c r="J61" s="123"/>
      <c r="N61"/>
    </row>
    <row r="62" spans="8:14" ht="15">
      <c r="H62" s="111"/>
      <c r="I62" s="108"/>
      <c r="J62" s="109"/>
      <c r="N62"/>
    </row>
    <row r="63" spans="8:14" ht="15.75" thickBot="1">
      <c r="H63" s="113">
        <f>I60/$K$13*H61</f>
        <v>40141.77730967226</v>
      </c>
      <c r="I63" s="124" t="str">
        <f>I42</f>
        <v>$ Expended</v>
      </c>
      <c r="J63" s="125"/>
      <c r="N63"/>
    </row>
  </sheetData>
  <sheetProtection/>
  <mergeCells count="7">
    <mergeCell ref="I63:J63"/>
    <mergeCell ref="A1:Q1"/>
    <mergeCell ref="H53:J53"/>
    <mergeCell ref="I55:J55"/>
    <mergeCell ref="I57:J57"/>
    <mergeCell ref="H59:J59"/>
    <mergeCell ref="I61:J61"/>
  </mergeCells>
  <dataValidations count="5">
    <dataValidation type="list" allowBlank="1" showInputMessage="1" showErrorMessage="1" sqref="H53">
      <formula1>Technologies</formula1>
    </dataValidation>
    <dataValidation type="list" allowBlank="1" showInputMessage="1" showErrorMessage="1" sqref="D3 B3 F3">
      <formula1>Aircraft_Type</formula1>
    </dataValidation>
    <dataValidation type="list" allowBlank="1" showInputMessage="1" showErrorMessage="1" sqref="D6:D7 B6:B7 F6:F7">
      <formula1>Unit</formula1>
    </dataValidation>
    <dataValidation type="list" allowBlank="1" showInputMessage="1" showErrorMessage="1" sqref="D8 B8 F8">
      <formula1>Location</formula1>
    </dataValidation>
    <dataValidation type="list" allowBlank="1" showInputMessage="1" showErrorMessage="1" sqref="B25 B16 B10 D16 D10 F16 F10 F25 D25">
      <formula1>Lift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9"/>
  <sheetViews>
    <sheetView zoomScale="70" zoomScaleNormal="70" zoomScalePageLayoutView="70" workbookViewId="0" topLeftCell="A1">
      <selection activeCell="I15" sqref="I15"/>
    </sheetView>
  </sheetViews>
  <sheetFormatPr defaultColWidth="8.8515625" defaultRowHeight="15"/>
  <cols>
    <col min="1" max="1" width="30.421875" style="0" customWidth="1"/>
    <col min="2" max="2" width="12.421875" style="11" customWidth="1"/>
    <col min="3" max="3" width="7.421875" style="0" customWidth="1"/>
    <col min="4" max="4" width="12.421875" style="11" customWidth="1"/>
    <col min="5" max="5" width="5.421875" style="0" customWidth="1"/>
    <col min="6" max="6" width="12.421875" style="11" customWidth="1"/>
    <col min="7" max="7" width="3.7109375" style="0" customWidth="1"/>
    <col min="8" max="8" width="16.00390625" style="23" customWidth="1"/>
    <col min="9" max="9" width="16.7109375" style="0" customWidth="1"/>
    <col min="10" max="10" width="25.140625" style="0" customWidth="1"/>
    <col min="11" max="11" width="10.421875" style="115" customWidth="1"/>
    <col min="12" max="12" width="8.8515625" style="0" customWidth="1"/>
    <col min="13" max="13" width="25.421875" style="0" customWidth="1"/>
    <col min="14" max="14" width="8.8515625" style="0" customWidth="1"/>
    <col min="15" max="15" width="11.140625" style="0" bestFit="1" customWidth="1"/>
    <col min="16" max="16" width="25.140625" style="0" customWidth="1"/>
  </cols>
  <sheetData>
    <row r="1" spans="1:17" ht="18.75">
      <c r="A1" s="126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4:17" ht="15.75" thickBot="1">
      <c r="N2" s="115"/>
      <c r="Q2" s="115"/>
    </row>
    <row r="3" spans="1:17" ht="15.75" thickBot="1">
      <c r="A3" t="s">
        <v>108</v>
      </c>
      <c r="B3" s="100" t="s">
        <v>84</v>
      </c>
      <c r="D3" s="100" t="s">
        <v>84</v>
      </c>
      <c r="F3" s="105" t="s">
        <v>84</v>
      </c>
      <c r="J3" t="s">
        <v>109</v>
      </c>
      <c r="K3" s="115" t="str">
        <f>B3</f>
        <v>CH-53K</v>
      </c>
      <c r="M3" t="s">
        <v>109</v>
      </c>
      <c r="N3" s="115" t="str">
        <f>D3</f>
        <v>CH-53K</v>
      </c>
      <c r="P3" t="s">
        <v>109</v>
      </c>
      <c r="Q3" s="115" t="str">
        <f>F3</f>
        <v>CH-53K</v>
      </c>
    </row>
    <row r="4" spans="10:17" ht="15.75" thickBot="1">
      <c r="J4" s="7" t="s">
        <v>87</v>
      </c>
      <c r="K4" s="56" t="str">
        <f>HLOOKUP(B3,Reference!$B$2:$L$13,2,FALSE)</f>
        <v>Heavy Lift</v>
      </c>
      <c r="M4" s="7" t="s">
        <v>87</v>
      </c>
      <c r="N4" s="56" t="str">
        <f>HLOOKUP($D$3,Reference!$B$2:$L$13,2,FALSE)</f>
        <v>Heavy Lift</v>
      </c>
      <c r="P4" s="7" t="s">
        <v>87</v>
      </c>
      <c r="Q4" s="56" t="str">
        <f>HLOOKUP(F3,Reference!$B$2:$L$13,2,FALSE)</f>
        <v>Heavy Lift</v>
      </c>
    </row>
    <row r="5" spans="1:17" ht="15.75" thickBot="1">
      <c r="A5" t="s">
        <v>137</v>
      </c>
      <c r="B5" s="101">
        <v>13</v>
      </c>
      <c r="D5" s="22">
        <v>13</v>
      </c>
      <c r="F5" s="22">
        <v>13</v>
      </c>
      <c r="J5" s="7" t="s">
        <v>94</v>
      </c>
      <c r="K5" s="8">
        <f>HLOOKUP(B3,Reference!B2:L13,3,FALSE)</f>
        <v>0</v>
      </c>
      <c r="M5" s="7" t="s">
        <v>94</v>
      </c>
      <c r="N5" s="56">
        <f>HLOOKUP($D$3,Reference!$B$2:$L$13,3,FALSE)</f>
        <v>0</v>
      </c>
      <c r="P5" s="7" t="s">
        <v>94</v>
      </c>
      <c r="Q5" s="56">
        <f>HLOOKUP(F3,Reference!$B$2:$L$13,3,FALSE)</f>
        <v>0</v>
      </c>
    </row>
    <row r="6" spans="1:17" ht="15.75" thickBot="1">
      <c r="A6" t="s">
        <v>111</v>
      </c>
      <c r="B6" s="12" t="s">
        <v>122</v>
      </c>
      <c r="D6" s="21" t="s">
        <v>122</v>
      </c>
      <c r="F6" s="21" t="s">
        <v>122</v>
      </c>
      <c r="J6" s="7" t="s">
        <v>95</v>
      </c>
      <c r="K6" s="8">
        <f>HLOOKUP(B3,Reference!B2:L13,4,FALSE)</f>
        <v>0</v>
      </c>
      <c r="M6" s="7" t="s">
        <v>95</v>
      </c>
      <c r="N6" s="56">
        <f>HLOOKUP($D$3,Reference!$B$2:$L$13,4,FALSE)</f>
        <v>0</v>
      </c>
      <c r="P6" s="7" t="s">
        <v>95</v>
      </c>
      <c r="Q6" s="56">
        <f>HLOOKUP(F3,Reference!$B$2:$L$13,4,FALSE)</f>
        <v>0</v>
      </c>
    </row>
    <row r="7" spans="2:17" ht="15.75" thickBot="1">
      <c r="B7" s="13"/>
      <c r="D7" s="13"/>
      <c r="F7" s="13"/>
      <c r="J7" s="7" t="s">
        <v>103</v>
      </c>
      <c r="K7" s="8">
        <f>HLOOKUP(B3,Reference!B2:L13,5,FALSE)</f>
        <v>0</v>
      </c>
      <c r="M7" s="7" t="s">
        <v>103</v>
      </c>
      <c r="N7" s="56">
        <f>HLOOKUP($D$3,Reference!$B$2:$L$13,5,FALSE)</f>
        <v>0</v>
      </c>
      <c r="P7" s="7" t="s">
        <v>103</v>
      </c>
      <c r="Q7" s="56">
        <f>HLOOKUP(F3,Reference!$B$2:$L$13,5,FALSE)</f>
        <v>0</v>
      </c>
    </row>
    <row r="8" spans="1:17" ht="15.75" thickBot="1">
      <c r="A8" t="s">
        <v>124</v>
      </c>
      <c r="B8" s="100" t="s">
        <v>129</v>
      </c>
      <c r="D8" s="100" t="s">
        <v>129</v>
      </c>
      <c r="F8" s="100" t="s">
        <v>129</v>
      </c>
      <c r="J8" s="7" t="s">
        <v>100</v>
      </c>
      <c r="K8" s="8">
        <f>HLOOKUP(B3,Reference!B2:L13,6,FALSE)</f>
        <v>0</v>
      </c>
      <c r="M8" s="7" t="s">
        <v>100</v>
      </c>
      <c r="N8" s="56">
        <f>HLOOKUP($D$3,Reference!$B$2:$L$13,6,FALSE)</f>
        <v>0</v>
      </c>
      <c r="P8" s="7" t="s">
        <v>100</v>
      </c>
      <c r="Q8" s="56">
        <f>HLOOKUP(F3,Reference!$B$2:$L$13,6,FALSE)</f>
        <v>0</v>
      </c>
    </row>
    <row r="9" spans="1:17" ht="15.75" thickBot="1">
      <c r="A9" t="s">
        <v>123</v>
      </c>
      <c r="B9" s="100">
        <v>13</v>
      </c>
      <c r="D9" s="100">
        <v>7</v>
      </c>
      <c r="F9" s="100">
        <v>4</v>
      </c>
      <c r="J9" s="9" t="s">
        <v>106</v>
      </c>
      <c r="K9" s="10">
        <f>HLOOKUP(B3,Reference!B2:L13,7,FALSE)</f>
        <v>0</v>
      </c>
      <c r="M9" s="9" t="s">
        <v>106</v>
      </c>
      <c r="N9" s="56">
        <f>HLOOKUP($D$3,Reference!$B$2:$L$13,7,FALSE)</f>
        <v>0</v>
      </c>
      <c r="P9" s="9" t="s">
        <v>106</v>
      </c>
      <c r="Q9" s="56">
        <f>HLOOKUP(F3,Reference!$B$2:$L$13,7,FALSE)</f>
        <v>0</v>
      </c>
    </row>
    <row r="10" spans="1:17" ht="15.75" thickBot="1">
      <c r="A10" t="s">
        <v>20</v>
      </c>
      <c r="B10" s="100" t="s">
        <v>6</v>
      </c>
      <c r="D10" s="100" t="s">
        <v>7</v>
      </c>
      <c r="F10" s="100" t="s">
        <v>33</v>
      </c>
      <c r="J10" s="9" t="s">
        <v>107</v>
      </c>
      <c r="K10" s="8">
        <f>HLOOKUP(B3,Reference!B2:L13,8,FALSE)</f>
        <v>0</v>
      </c>
      <c r="M10" s="9" t="s">
        <v>107</v>
      </c>
      <c r="N10" s="56">
        <f>HLOOKUP($D$3,Reference!$B$2:$L$13,8,FALSE)</f>
        <v>0</v>
      </c>
      <c r="P10" s="9" t="s">
        <v>107</v>
      </c>
      <c r="Q10" s="56">
        <f>HLOOKUP(F3,Reference!$B$2:$L$13,8,FALSE)</f>
        <v>0</v>
      </c>
    </row>
    <row r="11" spans="1:17" ht="15.75" thickBot="1">
      <c r="A11" t="s">
        <v>21</v>
      </c>
      <c r="B11" s="100">
        <v>260</v>
      </c>
      <c r="D11" s="100">
        <v>260</v>
      </c>
      <c r="F11" s="100">
        <v>260</v>
      </c>
      <c r="J11" s="7" t="s">
        <v>96</v>
      </c>
      <c r="K11" s="8">
        <f>HLOOKUP(B3,Reference!B2:L13,9,FALSE)</f>
        <v>170</v>
      </c>
      <c r="M11" s="7" t="s">
        <v>96</v>
      </c>
      <c r="N11" s="56">
        <f>HLOOKUP($D$3,Reference!$B$2:$L$13,9,FALSE)</f>
        <v>170</v>
      </c>
      <c r="P11" s="7" t="s">
        <v>96</v>
      </c>
      <c r="Q11" s="56">
        <f>HLOOKUP(F3,Reference!$B$2:$L$13,9,FALSE)</f>
        <v>170</v>
      </c>
    </row>
    <row r="12" spans="1:17" ht="15.75" thickBot="1">
      <c r="A12" t="s">
        <v>135</v>
      </c>
      <c r="B12" s="102">
        <v>0.1</v>
      </c>
      <c r="D12" s="102">
        <v>0.1</v>
      </c>
      <c r="F12" s="102">
        <v>0.1</v>
      </c>
      <c r="J12" s="7" t="s">
        <v>97</v>
      </c>
      <c r="K12" s="8">
        <f>HLOOKUP(B3,Reference!B2:L13,10,FALSE)</f>
        <v>4780</v>
      </c>
      <c r="M12" s="7" t="s">
        <v>97</v>
      </c>
      <c r="N12" s="56">
        <f>HLOOKUP($D$3,Reference!$B$2:$L$13,10,FALSE)</f>
        <v>4780</v>
      </c>
      <c r="P12" s="7" t="s">
        <v>97</v>
      </c>
      <c r="Q12" s="56">
        <f>HLOOKUP(F3,Reference!$B$2:$L$13,10,FALSE)</f>
        <v>4780</v>
      </c>
    </row>
    <row r="13" spans="1:17" ht="15.75" thickBot="1">
      <c r="A13" t="s">
        <v>0</v>
      </c>
      <c r="B13" s="100">
        <v>0.5</v>
      </c>
      <c r="D13" s="100">
        <v>0.5</v>
      </c>
      <c r="F13" s="100">
        <v>0.5</v>
      </c>
      <c r="J13" s="7" t="s">
        <v>98</v>
      </c>
      <c r="K13" s="8">
        <f>HLOOKUP(B3,Reference!B2:L13,11,FALSE)</f>
        <v>6.75</v>
      </c>
      <c r="M13" s="7" t="s">
        <v>98</v>
      </c>
      <c r="N13" s="56">
        <f>HLOOKUP($D$3,Reference!$B$2:$L$13,11,FALSE)</f>
        <v>6.75</v>
      </c>
      <c r="P13" s="7" t="s">
        <v>98</v>
      </c>
      <c r="Q13" s="56">
        <f>HLOOKUP(F3,Reference!$B$2:$L$13,11,FALSE)</f>
        <v>6.75</v>
      </c>
    </row>
    <row r="14" spans="2:17" ht="33.75" customHeight="1">
      <c r="B14" s="13"/>
      <c r="D14" s="13"/>
      <c r="F14" s="13"/>
      <c r="J14" s="7" t="s">
        <v>104</v>
      </c>
      <c r="K14" s="8" t="str">
        <f>HLOOKUP(B3,Reference!B2:L13,12,FALSE)</f>
        <v>Sea Level</v>
      </c>
      <c r="M14" s="7" t="s">
        <v>104</v>
      </c>
      <c r="N14" s="56" t="str">
        <f>HLOOKUP($D$3,Reference!$B$2:$L$13,12,FALSE)</f>
        <v>Sea Level</v>
      </c>
      <c r="P14" s="7" t="s">
        <v>104</v>
      </c>
      <c r="Q14" s="56" t="str">
        <f>HLOOKUP(F3,Reference!$B$2:$L$13,12,FALSE)</f>
        <v>Sea Level</v>
      </c>
    </row>
    <row r="15" spans="1:14" ht="15.75" thickBot="1">
      <c r="A15" t="s">
        <v>22</v>
      </c>
      <c r="B15" s="13"/>
      <c r="D15" s="13"/>
      <c r="F15" s="13"/>
      <c r="N15" s="52"/>
    </row>
    <row r="16" spans="1:11" ht="15.75" thickBot="1">
      <c r="A16" s="35" t="s">
        <v>8</v>
      </c>
      <c r="B16" s="36" t="s">
        <v>6</v>
      </c>
      <c r="C16" s="37"/>
      <c r="D16" s="36" t="s">
        <v>7</v>
      </c>
      <c r="E16" s="37"/>
      <c r="F16" s="36" t="s">
        <v>33</v>
      </c>
      <c r="G16" s="37"/>
      <c r="H16" s="38"/>
      <c r="J16" s="28" t="s">
        <v>13</v>
      </c>
      <c r="K16" s="29"/>
    </row>
    <row r="17" spans="1:11" ht="15.75" thickBot="1">
      <c r="A17" s="39" t="s">
        <v>11</v>
      </c>
      <c r="B17" s="32">
        <f>VLOOKUP(B16,$J$17:$K$20,2,TRUE)</f>
        <v>110</v>
      </c>
      <c r="C17" s="40"/>
      <c r="D17" s="32">
        <f>VLOOKUP(D16,$J$17:$K$20,2,FALSE)</f>
        <v>80</v>
      </c>
      <c r="E17" s="40"/>
      <c r="F17" s="32">
        <f>VLOOKUP(F16,$J$17:$K$20,2,TRUE)</f>
        <v>125</v>
      </c>
      <c r="G17" s="40"/>
      <c r="H17" s="41"/>
      <c r="J17" s="30" t="s">
        <v>10</v>
      </c>
      <c r="K17" s="31">
        <f>K11</f>
        <v>170</v>
      </c>
    </row>
    <row r="18" spans="1:11" ht="15">
      <c r="A18" s="39" t="s">
        <v>15</v>
      </c>
      <c r="B18" s="42">
        <f>IF(B$6="Gallons",B$11/B17*$K$12/$K$13,B$11/B17*$K$12)</f>
        <v>11298.181818181818</v>
      </c>
      <c r="C18" s="42"/>
      <c r="D18" s="42">
        <f>IF(D$6="Gallons",D$11/D17*N12/$K$13,D$11/D17*N12)</f>
        <v>15535</v>
      </c>
      <c r="E18" s="42"/>
      <c r="F18" s="42">
        <f>IF(F$6="Gallons",F$11/F17*Q12/$K$13,F$11/F17*Q12)</f>
        <v>9942.4</v>
      </c>
      <c r="G18" s="40"/>
      <c r="H18" s="41"/>
      <c r="J18" s="30" t="s">
        <v>33</v>
      </c>
      <c r="K18" s="31">
        <v>125</v>
      </c>
    </row>
    <row r="19" spans="1:11" ht="15">
      <c r="A19" s="43" t="s">
        <v>112</v>
      </c>
      <c r="B19" s="34">
        <f>IF(B6="Gallons",$K$12/$K$13/B17,$K$12/B17)</f>
        <v>43.45454545454545</v>
      </c>
      <c r="C19" s="34"/>
      <c r="D19" s="34">
        <f>IF(D6="Gallons",$K$12/$K$13/D17,$K$12/D17)</f>
        <v>59.75</v>
      </c>
      <c r="E19" s="34"/>
      <c r="F19" s="34">
        <f>IF(F6="Gallons",$K$12/$K$13/F17,$K$12/F17)</f>
        <v>38.24</v>
      </c>
      <c r="G19" s="40"/>
      <c r="H19" s="41"/>
      <c r="J19" s="30" t="s">
        <v>6</v>
      </c>
      <c r="K19" s="31">
        <v>110</v>
      </c>
    </row>
    <row r="20" spans="1:11" ht="15">
      <c r="A20" s="43" t="s">
        <v>113</v>
      </c>
      <c r="B20" s="34">
        <f>$K$12</f>
        <v>4780</v>
      </c>
      <c r="C20" s="34"/>
      <c r="D20" s="34">
        <f>$K$12</f>
        <v>4780</v>
      </c>
      <c r="E20" s="34"/>
      <c r="F20" s="34">
        <f>$K$12</f>
        <v>4780</v>
      </c>
      <c r="G20" s="40"/>
      <c r="H20" s="41"/>
      <c r="J20" s="30" t="s">
        <v>7</v>
      </c>
      <c r="K20" s="31">
        <v>80</v>
      </c>
    </row>
    <row r="21" spans="1:8" ht="15">
      <c r="A21" s="43" t="s">
        <v>114</v>
      </c>
      <c r="B21" s="34">
        <f>B18/VLOOKUP(B16,$J$23:$K$27,2,TRUE)</f>
        <v>0.869090909090909</v>
      </c>
      <c r="C21" s="34"/>
      <c r="D21" s="34">
        <f>D18/VLOOKUP(D16,$J$23:$K$27,2,FALSE)</f>
        <v>0.5975</v>
      </c>
      <c r="E21" s="34"/>
      <c r="F21" s="34">
        <f>F18/VLOOKUP(F16,$J$23:$K$27,2,TRUE)</f>
        <v>1.98848</v>
      </c>
      <c r="G21" s="40"/>
      <c r="H21" s="41"/>
    </row>
    <row r="22" spans="1:10" ht="15">
      <c r="A22" s="39" t="s">
        <v>16</v>
      </c>
      <c r="B22" s="42">
        <f>B$11/B17</f>
        <v>2.3636363636363638</v>
      </c>
      <c r="C22" s="42"/>
      <c r="D22" s="42">
        <f>D$11/D17</f>
        <v>3.25</v>
      </c>
      <c r="E22" s="42"/>
      <c r="F22" s="42">
        <f>F$11/F17</f>
        <v>2.08</v>
      </c>
      <c r="G22" s="40"/>
      <c r="H22" s="41"/>
      <c r="J22" s="28" t="s">
        <v>23</v>
      </c>
    </row>
    <row r="23" spans="1:11" ht="15">
      <c r="A23" s="39" t="s">
        <v>138</v>
      </c>
      <c r="B23" s="42">
        <f>IF(B24&gt;(B22+B32),"N/A",B13)</f>
        <v>0.5</v>
      </c>
      <c r="C23" s="42"/>
      <c r="D23" s="42">
        <f>IF(D24&gt;(D22+D32),"N/A",D13)</f>
        <v>0.5</v>
      </c>
      <c r="E23" s="42"/>
      <c r="F23" s="42">
        <f>IF(F24&gt;(F22+F32),"N/A",F13)</f>
        <v>0.5</v>
      </c>
      <c r="G23" s="40"/>
      <c r="H23" s="41"/>
      <c r="J23" s="30" t="s">
        <v>10</v>
      </c>
      <c r="K23" s="31">
        <f>K5+K29</f>
        <v>0</v>
      </c>
    </row>
    <row r="24" spans="1:11" ht="15">
      <c r="A24" s="39" t="s">
        <v>120</v>
      </c>
      <c r="B24" s="42">
        <f>$K$8*(1-B12)/$K$12</f>
        <v>0</v>
      </c>
      <c r="C24" s="42"/>
      <c r="D24" s="42">
        <f>$K$8*(1-D12)/$K$12</f>
        <v>0</v>
      </c>
      <c r="E24" s="42"/>
      <c r="F24" s="42">
        <f>$K$8*(1-F12)/$K$12</f>
        <v>0</v>
      </c>
      <c r="G24" s="40"/>
      <c r="H24" s="41"/>
      <c r="J24" s="30" t="s">
        <v>33</v>
      </c>
      <c r="K24" s="31">
        <f>K5+K30</f>
        <v>5000</v>
      </c>
    </row>
    <row r="25" spans="1:11" ht="15.75" thickBot="1">
      <c r="A25" s="43"/>
      <c r="B25" s="44"/>
      <c r="C25" s="40"/>
      <c r="D25" s="44"/>
      <c r="E25" s="40"/>
      <c r="F25" s="44"/>
      <c r="G25" s="40"/>
      <c r="H25" s="41"/>
      <c r="J25" s="30" t="s">
        <v>6</v>
      </c>
      <c r="K25" s="31">
        <f>K5+K31</f>
        <v>13000</v>
      </c>
    </row>
    <row r="26" spans="1:11" ht="15.75" thickBot="1">
      <c r="A26" s="39" t="s">
        <v>9</v>
      </c>
      <c r="B26" s="36" t="s">
        <v>10</v>
      </c>
      <c r="C26" s="40"/>
      <c r="D26" s="36" t="s">
        <v>10</v>
      </c>
      <c r="E26" s="40"/>
      <c r="F26" s="36" t="s">
        <v>10</v>
      </c>
      <c r="G26" s="40"/>
      <c r="H26" s="41"/>
      <c r="J26" s="30" t="s">
        <v>7</v>
      </c>
      <c r="K26" s="31">
        <f>K5+K32</f>
        <v>26000</v>
      </c>
    </row>
    <row r="27" spans="1:8" ht="15.75" thickBot="1">
      <c r="A27" s="39" t="s">
        <v>12</v>
      </c>
      <c r="B27" s="32">
        <f>VLOOKUP(B26,$J$17:$K$20,2,TRUE)</f>
        <v>170</v>
      </c>
      <c r="C27" s="40"/>
      <c r="D27" s="32">
        <f>VLOOKUP(D26,$J$17:$K$20,2,TRUE)</f>
        <v>170</v>
      </c>
      <c r="E27" s="40"/>
      <c r="F27" s="32">
        <f>VLOOKUP(F26,$J$17:$K$20,2,TRUE)</f>
        <v>170</v>
      </c>
      <c r="G27" s="40"/>
      <c r="H27" s="41"/>
    </row>
    <row r="28" spans="1:10" ht="15">
      <c r="A28" s="39" t="s">
        <v>17</v>
      </c>
      <c r="B28" s="42">
        <f>IF(B$6="Gallons",B$11/B27*$K$12/$K$13,B$11/B27*$K$12)</f>
        <v>7310.588235294117</v>
      </c>
      <c r="C28" s="42"/>
      <c r="D28" s="42">
        <f>IF(D$6="Gallons",D$11/D27*N12/$K$13,D$11/D27*N12)</f>
        <v>7310.588235294117</v>
      </c>
      <c r="E28" s="42"/>
      <c r="F28" s="42">
        <f>IF(F$6="Gallons",F$11/F27*Q12/$K$13,F$11/F27*Q12)</f>
        <v>7310.588235294117</v>
      </c>
      <c r="G28" s="40"/>
      <c r="H28" s="41"/>
      <c r="J28" s="28" t="s">
        <v>37</v>
      </c>
    </row>
    <row r="29" spans="1:11" ht="15">
      <c r="A29" s="43" t="s">
        <v>112</v>
      </c>
      <c r="B29" s="34">
        <f>IF(B16="Gallons",$K$12/$K$13/B27,$K$12/B27)</f>
        <v>28.11764705882353</v>
      </c>
      <c r="C29" s="34"/>
      <c r="D29" s="34">
        <f>IF(D16="Gallons",$K$12/$K$13/D27,$K$12/D27)</f>
        <v>28.11764705882353</v>
      </c>
      <c r="E29" s="34"/>
      <c r="F29" s="34">
        <f>IF(F16="Gallons",$K$12/$K$13/F27,$K$12/F27)</f>
        <v>28.11764705882353</v>
      </c>
      <c r="G29" s="40"/>
      <c r="H29" s="41"/>
      <c r="J29" s="30" t="s">
        <v>10</v>
      </c>
      <c r="K29" s="31">
        <v>0</v>
      </c>
    </row>
    <row r="30" spans="1:11" ht="15">
      <c r="A30" s="43" t="s">
        <v>113</v>
      </c>
      <c r="B30" s="34">
        <f>$K$12</f>
        <v>4780</v>
      </c>
      <c r="C30" s="34"/>
      <c r="D30" s="34">
        <f>$K$12</f>
        <v>4780</v>
      </c>
      <c r="E30" s="34"/>
      <c r="F30" s="34">
        <f>$K$12</f>
        <v>4780</v>
      </c>
      <c r="G30" s="40"/>
      <c r="H30" s="41"/>
      <c r="J30" s="30" t="s">
        <v>33</v>
      </c>
      <c r="K30" s="31">
        <v>5000</v>
      </c>
    </row>
    <row r="31" spans="1:11" ht="15">
      <c r="A31" s="43" t="s">
        <v>114</v>
      </c>
      <c r="B31" s="34" t="e">
        <f>B28/VLOOKUP(B26,$J$23:$K$27,2,TRUE)</f>
        <v>#DIV/0!</v>
      </c>
      <c r="C31" s="34"/>
      <c r="D31" s="34" t="e">
        <f>D28/VLOOKUP(D26,$J$23:$K$27,2,TRUE)</f>
        <v>#DIV/0!</v>
      </c>
      <c r="E31" s="34"/>
      <c r="F31" s="34" t="e">
        <f>F28/VLOOKUP(F26,$J$23:$K$27,2,TRUE)</f>
        <v>#DIV/0!</v>
      </c>
      <c r="G31" s="40"/>
      <c r="H31" s="41"/>
      <c r="J31" s="30" t="s">
        <v>6</v>
      </c>
      <c r="K31" s="31">
        <v>13000</v>
      </c>
    </row>
    <row r="32" spans="1:11" ht="15">
      <c r="A32" s="39" t="s">
        <v>18</v>
      </c>
      <c r="B32" s="42">
        <f>B$11/B27</f>
        <v>1.5294117647058822</v>
      </c>
      <c r="C32" s="42"/>
      <c r="D32" s="42">
        <f>D$11/D27</f>
        <v>1.5294117647058822</v>
      </c>
      <c r="E32" s="42"/>
      <c r="F32" s="42">
        <f>F$11/F27</f>
        <v>1.5294117647058822</v>
      </c>
      <c r="G32" s="40"/>
      <c r="H32" s="41"/>
      <c r="J32" s="30" t="s">
        <v>7</v>
      </c>
      <c r="K32" s="31">
        <v>26000</v>
      </c>
    </row>
    <row r="33" spans="1:8" ht="15">
      <c r="A33" s="39" t="s">
        <v>138</v>
      </c>
      <c r="B33" s="42" t="e">
        <f>IF(B34&gt;B32,"N/A",B32/B34)</f>
        <v>#DIV/0!</v>
      </c>
      <c r="C33" s="42"/>
      <c r="D33" s="42" t="e">
        <f>IF(D34&gt;D32,"N/A",D32/D34)</f>
        <v>#DIV/0!</v>
      </c>
      <c r="E33" s="42"/>
      <c r="F33" s="42" t="e">
        <f>IF(F34&gt;F32,"N/A",F32/F34)</f>
        <v>#DIV/0!</v>
      </c>
      <c r="G33" s="40"/>
      <c r="H33" s="41"/>
    </row>
    <row r="34" spans="1:8" ht="15.75" thickBot="1">
      <c r="A34" s="45" t="s">
        <v>120</v>
      </c>
      <c r="B34" s="46">
        <f>$K$8*(1-B12)/$K$12</f>
        <v>0</v>
      </c>
      <c r="C34" s="46"/>
      <c r="D34" s="46">
        <f>$K$8*(1-D12)/$K$12</f>
        <v>0</v>
      </c>
      <c r="E34" s="46"/>
      <c r="F34" s="46">
        <f>$K$8*(1-F12)/$K$12</f>
        <v>0</v>
      </c>
      <c r="G34" s="47"/>
      <c r="H34" s="48"/>
    </row>
    <row r="35" spans="1:6" ht="15">
      <c r="A35" s="6"/>
      <c r="B35" s="13"/>
      <c r="D35" s="13"/>
      <c r="F35" s="13"/>
    </row>
    <row r="36" spans="1:6" ht="15">
      <c r="A36" s="6"/>
      <c r="B36" s="13"/>
      <c r="D36" s="13"/>
      <c r="F36" s="13"/>
    </row>
    <row r="37" spans="1:6" ht="15">
      <c r="A37" s="6"/>
      <c r="B37" s="13"/>
      <c r="D37" s="13"/>
      <c r="F37" s="13"/>
    </row>
    <row r="38" spans="1:6" ht="15.75" thickBot="1">
      <c r="A38" s="6"/>
      <c r="B38" s="13"/>
      <c r="D38" s="13"/>
      <c r="F38" s="13"/>
    </row>
    <row r="39" ht="30.75" thickBot="1">
      <c r="H39" s="24" t="s">
        <v>14</v>
      </c>
    </row>
    <row r="40" spans="1:9" ht="15.75" thickBot="1">
      <c r="A40" t="s">
        <v>110</v>
      </c>
      <c r="B40" s="14">
        <f>(B18+B28)*B9</f>
        <v>241914.01069518714</v>
      </c>
      <c r="D40" s="14">
        <f>(D18+D28)*D9</f>
        <v>159919.11764705883</v>
      </c>
      <c r="F40" s="14">
        <f>(F18+F28)*F9</f>
        <v>69011.95294117647</v>
      </c>
      <c r="H40" s="49">
        <f>SUM(B40:F40)</f>
        <v>470845.0812834224</v>
      </c>
      <c r="I40" t="str">
        <f>IF($B$6="Gallons","Gallons Expended","Pounds Expended")</f>
        <v>Pounds Expended</v>
      </c>
    </row>
    <row r="41" spans="1:8" ht="15">
      <c r="A41" s="6" t="s">
        <v>24</v>
      </c>
      <c r="B41" s="18">
        <f>AVERAGE(B19,B29)</f>
        <v>35.78609625668449</v>
      </c>
      <c r="C41" s="17"/>
      <c r="D41" s="18">
        <f>AVERAGE(D19,D29)</f>
        <v>43.93382352941177</v>
      </c>
      <c r="E41" s="17"/>
      <c r="F41" s="18">
        <f>AVERAGE(F19,F29)</f>
        <v>33.178823529411765</v>
      </c>
      <c r="H41" s="26"/>
    </row>
    <row r="42" spans="1:8" ht="15">
      <c r="A42" s="6" t="s">
        <v>25</v>
      </c>
      <c r="B42" s="18">
        <f>AVERAGE(B20,B30)</f>
        <v>4780</v>
      </c>
      <c r="C42" s="19"/>
      <c r="D42" s="18">
        <f>AVERAGE(D20,D30)</f>
        <v>4780</v>
      </c>
      <c r="E42" s="19"/>
      <c r="F42" s="18">
        <f>AVERAGE(F20,F30)</f>
        <v>4780</v>
      </c>
      <c r="H42" s="26"/>
    </row>
    <row r="43" spans="1:8" ht="15">
      <c r="A43" s="6" t="s">
        <v>26</v>
      </c>
      <c r="B43" s="18" t="e">
        <f>AVERAGE(B21,B31)</f>
        <v>#DIV/0!</v>
      </c>
      <c r="C43" s="17"/>
      <c r="D43" s="18" t="e">
        <f>AVERAGE(D21,D31)</f>
        <v>#DIV/0!</v>
      </c>
      <c r="E43" s="17"/>
      <c r="F43" s="18" t="e">
        <f>AVERAGE(F21,F31)</f>
        <v>#DIV/0!</v>
      </c>
      <c r="H43" s="26"/>
    </row>
    <row r="44" ht="15.75" thickBot="1">
      <c r="H44" s="26"/>
    </row>
    <row r="45" spans="1:9" ht="15.75" thickBot="1">
      <c r="A45" t="s">
        <v>115</v>
      </c>
      <c r="B45" s="55">
        <f>IF($B$6="Gallons",B40*$B$5,$B$5/$K$13*B40)</f>
        <v>465908.4650425826</v>
      </c>
      <c r="C45" s="51"/>
      <c r="D45" s="55">
        <f>IF($B$6="Gallons",D40*$B$5,$B$5/$K$13*D40)</f>
        <v>307992.3747276688</v>
      </c>
      <c r="E45" s="51"/>
      <c r="F45" s="55">
        <f>IF($B$6="Gallons",F40*$B$5,$B$5/$K$13*F40)</f>
        <v>132911.9093681917</v>
      </c>
      <c r="H45" s="27">
        <f>SUM(B45:F45)</f>
        <v>906812.7491384431</v>
      </c>
      <c r="I45" t="s">
        <v>2</v>
      </c>
    </row>
    <row r="46" spans="1:8" ht="15">
      <c r="A46" s="6" t="s">
        <v>28</v>
      </c>
      <c r="B46" s="53">
        <f>B45/(B11*B9)</f>
        <v>137.84274113685876</v>
      </c>
      <c r="C46" s="54"/>
      <c r="D46" s="53">
        <f>D45/(D11*D9)</f>
        <v>169.22657952069716</v>
      </c>
      <c r="E46" s="54"/>
      <c r="F46" s="53">
        <f>F45/(F11*F9)</f>
        <v>127.79991285403048</v>
      </c>
      <c r="H46" s="26"/>
    </row>
    <row r="47" spans="1:8" ht="15">
      <c r="A47" s="6" t="s">
        <v>29</v>
      </c>
      <c r="B47" s="53">
        <f>IF($B$6="Gallons",B42*B5,B42*B5/$K$13)</f>
        <v>9205.925925925925</v>
      </c>
      <c r="C47" s="54"/>
      <c r="D47" s="53">
        <f>IF($B$6="Gallons",D42*D5,D42*D5/$K$13)</f>
        <v>9205.925925925925</v>
      </c>
      <c r="E47" s="54"/>
      <c r="F47" s="53">
        <f>IF($B$6="Gallons",F42*F5,F42*F5/$K$13)</f>
        <v>9205.925925925925</v>
      </c>
      <c r="H47" s="26"/>
    </row>
    <row r="48" spans="1:8" ht="15">
      <c r="A48" s="6" t="s">
        <v>30</v>
      </c>
      <c r="B48" s="50">
        <f>B45/(B9*AVERAGE(VLOOKUP(B16,$J$23:$K$26,2,FALSE)+VLOOKUP(B26,$J$23:$K$26,2,FALSE)))</f>
        <v>2.756854822737175</v>
      </c>
      <c r="C48" s="54"/>
      <c r="D48" s="50">
        <f>D45/(D9*AVERAGE(VLOOKUP(D16,$J$23:$K$26,2,FALSE)+VLOOKUP(D26,$J$23:$K$26,2,FALSE)))</f>
        <v>1.6922657952069715</v>
      </c>
      <c r="E48" s="54"/>
      <c r="F48" s="50">
        <f>F45/(F9*AVERAGE(VLOOKUP(F16,$J$23:$K$26,2,FALSE)+VLOOKUP(F26,$J$23:$K$26,2,FALSE)))</f>
        <v>6.645595468409585</v>
      </c>
      <c r="H48" s="26"/>
    </row>
    <row r="49" ht="15.75" thickBot="1">
      <c r="H49" s="26"/>
    </row>
    <row r="50" spans="1:9" ht="15.75" thickBot="1">
      <c r="A50" t="s">
        <v>119</v>
      </c>
      <c r="B50" s="14">
        <f>B22+B32</f>
        <v>3.893048128342246</v>
      </c>
      <c r="D50" s="14">
        <f>D22+D32</f>
        <v>4.779411764705882</v>
      </c>
      <c r="F50" s="14">
        <f>F22+F32</f>
        <v>3.6094117647058823</v>
      </c>
      <c r="H50" s="25">
        <f>SUM(B50:F50)</f>
        <v>12.28187165775401</v>
      </c>
      <c r="I50" t="s">
        <v>3</v>
      </c>
    </row>
    <row r="51" spans="1:9" ht="15.75" thickBot="1">
      <c r="A51" t="s">
        <v>138</v>
      </c>
      <c r="B51" s="14">
        <f>IF(B23="N/A","N/A",B23)</f>
        <v>0.5</v>
      </c>
      <c r="C51" s="15"/>
      <c r="D51" s="14">
        <f>IF(D23="N/A","N/A",D23)</f>
        <v>0.5</v>
      </c>
      <c r="E51" s="15"/>
      <c r="F51" s="14">
        <f>IF(F23="N/A","N/A",F23)</f>
        <v>0.5</v>
      </c>
      <c r="H51" s="25">
        <f>SUM(B51:F51)</f>
        <v>1.5</v>
      </c>
      <c r="I51" t="s">
        <v>4</v>
      </c>
    </row>
    <row r="52" spans="1:8" ht="15.75" thickBot="1">
      <c r="A52" t="s">
        <v>120</v>
      </c>
      <c r="B52" s="14">
        <f>K8*(1-F12)/K12</f>
        <v>0</v>
      </c>
      <c r="D52" s="14">
        <f>D34</f>
        <v>0</v>
      </c>
      <c r="F52" s="14">
        <f>F34</f>
        <v>0</v>
      </c>
      <c r="H52" s="25">
        <f>SUM(B52:F52)</f>
        <v>0</v>
      </c>
    </row>
    <row r="53" spans="1:9" ht="15.75" thickBot="1">
      <c r="A53" t="s">
        <v>27</v>
      </c>
      <c r="B53" s="11">
        <f>B9*VLOOKUP(B10,$J$29:$K$32,2,FALSE)</f>
        <v>169000</v>
      </c>
      <c r="D53" s="11">
        <f>D9*VLOOKUP(D10,$J$29:$K$32,2,FALSE)</f>
        <v>182000</v>
      </c>
      <c r="F53" s="11">
        <f>F9*VLOOKUP(F10,$J$29:$K$32,2,TRUE)</f>
        <v>20000</v>
      </c>
      <c r="H53" s="49">
        <f>SUM(B53:F53)</f>
        <v>371000</v>
      </c>
      <c r="I53" t="s">
        <v>32</v>
      </c>
    </row>
    <row r="58" ht="15.75" thickBot="1"/>
    <row r="59" spans="8:10" ht="18.75">
      <c r="H59" s="127" t="s">
        <v>50</v>
      </c>
      <c r="I59" s="128"/>
      <c r="J59" s="129"/>
    </row>
    <row r="60" spans="8:10" ht="15">
      <c r="H60" s="107">
        <f>VLOOKUP(H59,Technologies!$A$2:$F$10,2,FALSE)</f>
        <v>0.00068</v>
      </c>
      <c r="I60" s="108">
        <f>IF(OR(H59=Technologies!$A$6,H59=Technologies!$A$7,H59=Technologies!$A$8,H59=Technologies!$A$14),VLOOKUP(H59,Technologies!$A$2:$C$15,3,FALSE),B5)</f>
        <v>13</v>
      </c>
      <c r="J60" s="109"/>
    </row>
    <row r="61" spans="8:14" ht="15">
      <c r="H61" s="110">
        <f>(1-H60)*H40</f>
        <v>470524.9066281497</v>
      </c>
      <c r="I61" s="122" t="str">
        <f>I40</f>
        <v>Pounds Expended</v>
      </c>
      <c r="J61" s="123"/>
      <c r="N61" t="s">
        <v>169</v>
      </c>
    </row>
    <row r="62" spans="8:15" ht="15">
      <c r="H62" s="111"/>
      <c r="I62" s="108"/>
      <c r="J62" s="109"/>
      <c r="N62" t="s">
        <v>171</v>
      </c>
      <c r="O62" t="s">
        <v>172</v>
      </c>
    </row>
    <row r="63" spans="8:15" ht="15.75" thickBot="1">
      <c r="H63" s="113">
        <f>I60/K13*H61</f>
        <v>906196.116469029</v>
      </c>
      <c r="I63" s="124" t="str">
        <f>I45</f>
        <v>$ Expended</v>
      </c>
      <c r="J63" s="125"/>
      <c r="M63" t="s">
        <v>80</v>
      </c>
      <c r="N63" s="114">
        <f>H40</f>
        <v>470845.0812834224</v>
      </c>
      <c r="O63" s="51">
        <f>H45</f>
        <v>906812.7491384431</v>
      </c>
    </row>
    <row r="64" spans="13:15" ht="15.75" thickBot="1">
      <c r="M64" t="str">
        <f>H59</f>
        <v>Composite</v>
      </c>
      <c r="N64" s="114">
        <f>H61</f>
        <v>470524.9066281497</v>
      </c>
      <c r="O64" s="51">
        <f>H63</f>
        <v>906196.116469029</v>
      </c>
    </row>
    <row r="65" spans="8:15" ht="15">
      <c r="H65" s="119" t="str">
        <f>IF(H59=Technologies!$A$3,"Driveshaft Removal Not Applicable","Also Remove Driveshaft")</f>
        <v>Also Remove Driveshaft</v>
      </c>
      <c r="I65" s="120"/>
      <c r="J65" s="121"/>
      <c r="M65" t="s">
        <v>170</v>
      </c>
      <c r="N65" s="114">
        <f>H67</f>
        <v>469347.79392494116</v>
      </c>
      <c r="O65" s="52">
        <f>H69</f>
        <v>903929.0845961829</v>
      </c>
    </row>
    <row r="66" spans="8:10" ht="15">
      <c r="H66" s="107">
        <f>H60+Technologies!$E$18</f>
        <v>0.00318</v>
      </c>
      <c r="I66" s="108">
        <f>I60</f>
        <v>13</v>
      </c>
      <c r="J66" s="109"/>
    </row>
    <row r="67" spans="8:10" ht="15">
      <c r="H67" s="110">
        <f>(1-H66)*H40</f>
        <v>469347.79392494116</v>
      </c>
      <c r="I67" s="122" t="str">
        <f>I40</f>
        <v>Pounds Expended</v>
      </c>
      <c r="J67" s="123"/>
    </row>
    <row r="68" spans="8:10" ht="15">
      <c r="H68" s="111"/>
      <c r="I68" s="108"/>
      <c r="J68" s="109"/>
    </row>
    <row r="69" spans="8:10" ht="15.75" thickBot="1">
      <c r="H69" s="112">
        <f>I60/K13*H67</f>
        <v>903929.0845961829</v>
      </c>
      <c r="I69" s="124" t="str">
        <f>I45</f>
        <v>$ Expended</v>
      </c>
      <c r="J69" s="125"/>
    </row>
  </sheetData>
  <sheetProtection/>
  <mergeCells count="7">
    <mergeCell ref="I69:J69"/>
    <mergeCell ref="A1:Q1"/>
    <mergeCell ref="H59:J59"/>
    <mergeCell ref="I61:J61"/>
    <mergeCell ref="I63:J63"/>
    <mergeCell ref="H65:J65"/>
    <mergeCell ref="I67:J67"/>
  </mergeCells>
  <dataValidations count="5">
    <dataValidation type="list" allowBlank="1" showInputMessage="1" showErrorMessage="1" sqref="D8 B8 F8">
      <formula1>Location</formula1>
    </dataValidation>
    <dataValidation type="list" allowBlank="1" showInputMessage="1" showErrorMessage="1" sqref="D6:D7 B6:B7 F6:F7">
      <formula1>Unit</formula1>
    </dataValidation>
    <dataValidation type="list" allowBlank="1" showInputMessage="1" showErrorMessage="1" sqref="D3 B3 F3">
      <formula1>Aircraft_Type</formula1>
    </dataValidation>
    <dataValidation type="list" allowBlank="1" showInputMessage="1" showErrorMessage="1" sqref="B16 B26 B10 D16 D26 D10 F16 F26 F10">
      <formula1>Lift</formula1>
    </dataValidation>
    <dataValidation type="list" allowBlank="1" showInputMessage="1" showErrorMessage="1" sqref="H59">
      <formula1>Technologies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5"/>
  <sheetViews>
    <sheetView zoomScale="70" zoomScaleNormal="70" zoomScalePageLayoutView="70" workbookViewId="0" topLeftCell="A1">
      <selection activeCell="F18" sqref="F18"/>
    </sheetView>
  </sheetViews>
  <sheetFormatPr defaultColWidth="8.8515625" defaultRowHeight="15"/>
  <cols>
    <col min="1" max="1" width="30.421875" style="0" customWidth="1"/>
    <col min="2" max="2" width="12.421875" style="11" customWidth="1"/>
    <col min="3" max="3" width="7.421875" style="0" customWidth="1"/>
    <col min="4" max="4" width="12.421875" style="11" customWidth="1"/>
    <col min="5" max="5" width="5.421875" style="0" customWidth="1"/>
    <col min="6" max="6" width="12.421875" style="11" customWidth="1"/>
    <col min="7" max="7" width="3.7109375" style="0" customWidth="1"/>
    <col min="8" max="8" width="14.28125" style="23" customWidth="1"/>
    <col min="9" max="9" width="16.7109375" style="0" customWidth="1"/>
    <col min="10" max="10" width="25.140625" style="0" customWidth="1"/>
    <col min="11" max="11" width="10.421875" style="115" customWidth="1"/>
    <col min="12" max="12" width="8.8515625" style="0" customWidth="1"/>
    <col min="13" max="13" width="25.140625" style="0" customWidth="1"/>
    <col min="14" max="14" width="10.421875" style="115" customWidth="1"/>
    <col min="15" max="15" width="8.8515625" style="0" customWidth="1"/>
    <col min="16" max="16" width="25.140625" style="0" customWidth="1"/>
    <col min="17" max="17" width="10.421875" style="115" customWidth="1"/>
  </cols>
  <sheetData>
    <row r="1" spans="1:17" ht="18.75">
      <c r="A1" s="126" t="s">
        <v>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ht="15.75" thickBot="1"/>
    <row r="3" spans="1:17" ht="15.75" thickBot="1">
      <c r="A3" t="s">
        <v>108</v>
      </c>
      <c r="B3" s="100" t="s">
        <v>102</v>
      </c>
      <c r="D3" s="100" t="s">
        <v>102</v>
      </c>
      <c r="F3" s="100" t="s">
        <v>102</v>
      </c>
      <c r="J3" t="s">
        <v>109</v>
      </c>
      <c r="K3" s="115" t="str">
        <f>B3</f>
        <v>UH-60M</v>
      </c>
      <c r="M3" t="s">
        <v>109</v>
      </c>
      <c r="N3" s="115" t="str">
        <f>D3</f>
        <v>UH-60M</v>
      </c>
      <c r="P3" t="s">
        <v>109</v>
      </c>
      <c r="Q3" s="115" t="str">
        <f>F3</f>
        <v>UH-60M</v>
      </c>
    </row>
    <row r="4" spans="10:17" ht="15.75" thickBot="1">
      <c r="J4" s="7" t="s">
        <v>87</v>
      </c>
      <c r="K4" s="56" t="str">
        <f>HLOOKUP(B3,Reference!$B$2:$L$13,2,FALSE)</f>
        <v>Movement/Assault</v>
      </c>
      <c r="M4" s="7" t="s">
        <v>87</v>
      </c>
      <c r="N4" s="56" t="str">
        <f>HLOOKUP($D$3,Reference!$B$2:$L$13,2,FALSE)</f>
        <v>Movement/Assault</v>
      </c>
      <c r="P4" s="7" t="s">
        <v>87</v>
      </c>
      <c r="Q4" s="56" t="str">
        <f>HLOOKUP(F3,Reference!$B$2:$L$13,2,FALSE)</f>
        <v>Movement/Assault</v>
      </c>
    </row>
    <row r="5" spans="1:17" ht="15.75" thickBot="1">
      <c r="A5" t="s">
        <v>137</v>
      </c>
      <c r="B5" s="101">
        <v>13</v>
      </c>
      <c r="D5" s="22">
        <v>13</v>
      </c>
      <c r="F5" s="22">
        <v>13</v>
      </c>
      <c r="J5" s="7" t="s">
        <v>94</v>
      </c>
      <c r="K5" s="8">
        <f>HLOOKUP(B3,Reference!B2:L13,3,FALSE)</f>
        <v>0</v>
      </c>
      <c r="M5" s="7" t="s">
        <v>94</v>
      </c>
      <c r="N5" s="56">
        <f>HLOOKUP($D$3,Reference!$B$2:$L$13,3,FALSE)</f>
        <v>0</v>
      </c>
      <c r="P5" s="7" t="s">
        <v>94</v>
      </c>
      <c r="Q5" s="56">
        <f>HLOOKUP(F3,Reference!$B$2:$L$13,3,FALSE)</f>
        <v>0</v>
      </c>
    </row>
    <row r="6" spans="1:17" ht="15.75" thickBot="1">
      <c r="A6" t="s">
        <v>111</v>
      </c>
      <c r="B6" s="12" t="s">
        <v>122</v>
      </c>
      <c r="D6" s="21" t="s">
        <v>122</v>
      </c>
      <c r="F6" s="21" t="s">
        <v>122</v>
      </c>
      <c r="J6" s="7" t="s">
        <v>95</v>
      </c>
      <c r="K6" s="8">
        <f>HLOOKUP(B3,Reference!B2:L13,4,FALSE)</f>
        <v>0</v>
      </c>
      <c r="M6" s="7" t="s">
        <v>95</v>
      </c>
      <c r="N6" s="56">
        <f>HLOOKUP($D$3,Reference!$B$2:$L$13,4,FALSE)</f>
        <v>0</v>
      </c>
      <c r="P6" s="7" t="s">
        <v>95</v>
      </c>
      <c r="Q6" s="56">
        <f>HLOOKUP(F3,Reference!$B$2:$L$13,4,FALSE)</f>
        <v>0</v>
      </c>
    </row>
    <row r="7" spans="2:17" ht="15.75" thickBot="1">
      <c r="B7" s="13"/>
      <c r="D7" s="13"/>
      <c r="F7" s="13"/>
      <c r="J7" s="7" t="s">
        <v>103</v>
      </c>
      <c r="K7" s="8">
        <f>HLOOKUP(B3,Reference!B2:L13,5,FALSE)</f>
        <v>11</v>
      </c>
      <c r="M7" s="7" t="s">
        <v>103</v>
      </c>
      <c r="N7" s="56">
        <f>HLOOKUP($D$3,Reference!$B$2:$L$13,5,FALSE)</f>
        <v>11</v>
      </c>
      <c r="P7" s="7" t="s">
        <v>103</v>
      </c>
      <c r="Q7" s="56">
        <f>HLOOKUP(F3,Reference!$B$2:$L$13,5,FALSE)</f>
        <v>11</v>
      </c>
    </row>
    <row r="8" spans="1:17" ht="15.75" thickBot="1">
      <c r="A8" t="s">
        <v>124</v>
      </c>
      <c r="B8" s="100" t="s">
        <v>132</v>
      </c>
      <c r="D8" s="100" t="s">
        <v>132</v>
      </c>
      <c r="F8" s="100" t="s">
        <v>132</v>
      </c>
      <c r="J8" s="7" t="s">
        <v>100</v>
      </c>
      <c r="K8" s="8">
        <f>HLOOKUP(B3,Reference!B2:L13,6,FALSE)</f>
        <v>2430</v>
      </c>
      <c r="M8" s="7" t="s">
        <v>100</v>
      </c>
      <c r="N8" s="56">
        <f>HLOOKUP($D$3,Reference!$B$2:$L$13,6,FALSE)</f>
        <v>2430</v>
      </c>
      <c r="P8" s="7" t="s">
        <v>100</v>
      </c>
      <c r="Q8" s="56">
        <f>HLOOKUP(F3,Reference!$B$2:$L$13,6,FALSE)</f>
        <v>2430</v>
      </c>
    </row>
    <row r="9" spans="1:17" ht="15.75" thickBot="1">
      <c r="A9" t="s">
        <v>123</v>
      </c>
      <c r="B9" s="100">
        <v>0</v>
      </c>
      <c r="D9" s="100">
        <v>8</v>
      </c>
      <c r="F9" s="100">
        <v>7</v>
      </c>
      <c r="J9" s="9" t="s">
        <v>106</v>
      </c>
      <c r="K9" s="10">
        <f>HLOOKUP(B3,Reference!B2:L13,7,FALSE)</f>
        <v>2.5</v>
      </c>
      <c r="M9" s="9" t="s">
        <v>106</v>
      </c>
      <c r="N9" s="56">
        <f>HLOOKUP($D$3,Reference!$B$2:$L$13,7,FALSE)</f>
        <v>2.5</v>
      </c>
      <c r="P9" s="9" t="s">
        <v>106</v>
      </c>
      <c r="Q9" s="56">
        <f>HLOOKUP(F3,Reference!$B$2:$L$13,7,FALSE)</f>
        <v>2.5</v>
      </c>
    </row>
    <row r="10" spans="1:17" ht="15.75" thickBot="1">
      <c r="A10" t="s">
        <v>20</v>
      </c>
      <c r="B10" s="100" t="s">
        <v>34</v>
      </c>
      <c r="D10" s="100" t="s">
        <v>91</v>
      </c>
      <c r="F10" s="100" t="s">
        <v>35</v>
      </c>
      <c r="J10" s="9" t="s">
        <v>107</v>
      </c>
      <c r="K10" s="8">
        <f>HLOOKUP(B3,Reference!B2:L13,8,FALSE)</f>
        <v>319</v>
      </c>
      <c r="M10" s="9" t="s">
        <v>107</v>
      </c>
      <c r="N10" s="56">
        <f>HLOOKUP($D$3,Reference!$B$2:$L$13,8,FALSE)</f>
        <v>319</v>
      </c>
      <c r="P10" s="9" t="s">
        <v>107</v>
      </c>
      <c r="Q10" s="56">
        <f>HLOOKUP(F3,Reference!$B$2:$L$13,8,FALSE)</f>
        <v>319</v>
      </c>
    </row>
    <row r="11" spans="1:17" ht="15.75" thickBot="1">
      <c r="A11" t="s">
        <v>38</v>
      </c>
      <c r="B11" s="100">
        <v>370</v>
      </c>
      <c r="D11" s="100">
        <v>370</v>
      </c>
      <c r="F11" s="100">
        <v>370</v>
      </c>
      <c r="J11" s="7" t="s">
        <v>96</v>
      </c>
      <c r="K11" s="8">
        <f>HLOOKUP(B3,Reference!B2:L13,9,FALSE)</f>
        <v>139</v>
      </c>
      <c r="M11" s="7" t="s">
        <v>96</v>
      </c>
      <c r="N11" s="56">
        <f>HLOOKUP($D$3,Reference!$B$2:$L$13,9,FALSE)</f>
        <v>139</v>
      </c>
      <c r="P11" s="7" t="s">
        <v>96</v>
      </c>
      <c r="Q11" s="56">
        <f>HLOOKUP(F3,Reference!$B$2:$L$13,9,FALSE)</f>
        <v>139</v>
      </c>
    </row>
    <row r="12" spans="1:17" ht="15.75" thickBot="1">
      <c r="A12" t="s">
        <v>135</v>
      </c>
      <c r="B12" s="102">
        <v>0.1</v>
      </c>
      <c r="D12" s="102">
        <v>0.1</v>
      </c>
      <c r="F12" s="102">
        <v>0.1</v>
      </c>
      <c r="J12" s="7" t="s">
        <v>97</v>
      </c>
      <c r="K12" s="8">
        <f>HLOOKUP(B3,Reference!B2:L13,10,FALSE)</f>
        <v>1152</v>
      </c>
      <c r="M12" s="7" t="s">
        <v>97</v>
      </c>
      <c r="N12" s="56">
        <f>HLOOKUP($D$3,Reference!$B$2:$L$13,10,FALSE)</f>
        <v>1152</v>
      </c>
      <c r="P12" s="7" t="s">
        <v>97</v>
      </c>
      <c r="Q12" s="56">
        <f>HLOOKUP(F3,Reference!$B$2:$L$13,10,FALSE)</f>
        <v>1152</v>
      </c>
    </row>
    <row r="13" spans="1:17" ht="15.75" thickBot="1">
      <c r="A13" t="s">
        <v>0</v>
      </c>
      <c r="B13" s="100">
        <v>0.5</v>
      </c>
      <c r="D13" s="100">
        <v>0.5</v>
      </c>
      <c r="F13" s="100">
        <v>0.5</v>
      </c>
      <c r="J13" s="7" t="s">
        <v>98</v>
      </c>
      <c r="K13" s="8">
        <f>HLOOKUP(B3,Reference!B2:L13,11,FALSE)</f>
        <v>6.75</v>
      </c>
      <c r="M13" s="7" t="s">
        <v>98</v>
      </c>
      <c r="N13" s="56">
        <f>HLOOKUP($D$3,Reference!$B$2:$L$13,11,FALSE)</f>
        <v>6.75</v>
      </c>
      <c r="P13" s="7" t="s">
        <v>98</v>
      </c>
      <c r="Q13" s="56">
        <f>HLOOKUP(F3,Reference!$B$2:$L$13,11,FALSE)</f>
        <v>6.75</v>
      </c>
    </row>
    <row r="14" spans="2:17" ht="33.75" customHeight="1">
      <c r="B14" s="13"/>
      <c r="D14" s="13"/>
      <c r="F14" s="13"/>
      <c r="J14" s="7" t="s">
        <v>104</v>
      </c>
      <c r="K14" s="8" t="str">
        <f>HLOOKUP(B3,Reference!B2:L13,12,FALSE)</f>
        <v>Sea Level</v>
      </c>
      <c r="M14" s="7" t="s">
        <v>104</v>
      </c>
      <c r="N14" s="56" t="str">
        <f>HLOOKUP($D$3,Reference!$B$2:$L$13,12,FALSE)</f>
        <v>Sea Level</v>
      </c>
      <c r="P14" s="7" t="s">
        <v>104</v>
      </c>
      <c r="Q14" s="56" t="str">
        <f>HLOOKUP(F3,Reference!$B$2:$L$13,12,FALSE)</f>
        <v>Sea Level</v>
      </c>
    </row>
    <row r="15" spans="1:6" ht="15.75" thickBot="1">
      <c r="A15" t="s">
        <v>22</v>
      </c>
      <c r="B15" s="13"/>
      <c r="D15" s="13"/>
      <c r="F15" s="13"/>
    </row>
    <row r="16" spans="1:17" ht="15.75" thickBot="1">
      <c r="A16" s="35" t="s">
        <v>8</v>
      </c>
      <c r="B16" s="36" t="s">
        <v>34</v>
      </c>
      <c r="C16" s="37"/>
      <c r="D16" s="36" t="s">
        <v>7</v>
      </c>
      <c r="E16" s="37"/>
      <c r="F16" s="36" t="s">
        <v>33</v>
      </c>
      <c r="G16" s="37"/>
      <c r="H16" s="38"/>
      <c r="K16"/>
      <c r="N16"/>
      <c r="Q16"/>
    </row>
    <row r="17" spans="1:17" ht="15.75" thickBot="1">
      <c r="A17" s="39" t="s">
        <v>11</v>
      </c>
      <c r="B17" s="36">
        <f>$K$11</f>
        <v>139</v>
      </c>
      <c r="C17" s="40"/>
      <c r="D17" s="36">
        <f>N11</f>
        <v>139</v>
      </c>
      <c r="E17" s="40"/>
      <c r="F17" s="36">
        <f>$K$11</f>
        <v>139</v>
      </c>
      <c r="G17" s="40"/>
      <c r="H17" s="41"/>
      <c r="K17"/>
      <c r="N17"/>
      <c r="Q17"/>
    </row>
    <row r="18" spans="1:17" ht="15">
      <c r="A18" s="39" t="s">
        <v>15</v>
      </c>
      <c r="B18" s="42">
        <f>IF(B$6="Gallons",B$11/B17*$K$12/$K$13,B$11/B17*$K$12)</f>
        <v>3066.4748201438847</v>
      </c>
      <c r="C18" s="42"/>
      <c r="D18" s="42">
        <f>IF(D$6="Gallons",D$11/D17*N12/$K$13,D$11/D17*N12)</f>
        <v>3066.4748201438847</v>
      </c>
      <c r="E18" s="42"/>
      <c r="F18" s="42">
        <f>IF(F$6="Gallons",F$11/F17*Q12/$K$13,F$11/F17*Q12)</f>
        <v>3066.4748201438847</v>
      </c>
      <c r="G18" s="40"/>
      <c r="H18" s="41"/>
      <c r="K18"/>
      <c r="N18"/>
      <c r="Q18"/>
    </row>
    <row r="19" spans="1:17" ht="15">
      <c r="A19" s="43" t="s">
        <v>112</v>
      </c>
      <c r="B19" s="34">
        <f>IF(B6="Gallons",$K$12/$K$13/B17,$K$12/B17)</f>
        <v>8.287769784172662</v>
      </c>
      <c r="C19" s="34"/>
      <c r="D19" s="34">
        <f>IF(D6="Gallons",N12/$K$13/D17,N12/D17)</f>
        <v>8.287769784172662</v>
      </c>
      <c r="E19" s="34"/>
      <c r="F19" s="34">
        <f>IF(F6="Gallons",Q12/$K$13/F17,Q12/F17)</f>
        <v>8.287769784172662</v>
      </c>
      <c r="G19" s="40"/>
      <c r="H19" s="41"/>
      <c r="K19"/>
      <c r="N19"/>
      <c r="Q19"/>
    </row>
    <row r="20" spans="1:17" ht="15">
      <c r="A20" s="43" t="s">
        <v>113</v>
      </c>
      <c r="B20" s="34">
        <f>$K$12</f>
        <v>1152</v>
      </c>
      <c r="C20" s="34"/>
      <c r="D20" s="34">
        <f>N12</f>
        <v>1152</v>
      </c>
      <c r="E20" s="34"/>
      <c r="F20" s="34">
        <f>Q12</f>
        <v>1152</v>
      </c>
      <c r="G20" s="40"/>
      <c r="H20" s="41"/>
      <c r="K20"/>
      <c r="N20"/>
      <c r="Q20"/>
    </row>
    <row r="21" spans="1:17" ht="15">
      <c r="A21" s="39" t="s">
        <v>16</v>
      </c>
      <c r="B21" s="42">
        <f>B$11/B17</f>
        <v>2.661870503597122</v>
      </c>
      <c r="C21" s="42"/>
      <c r="D21" s="42">
        <f>D$11/D17</f>
        <v>2.661870503597122</v>
      </c>
      <c r="E21" s="42"/>
      <c r="F21" s="42">
        <f>F$11/F17</f>
        <v>2.661870503597122</v>
      </c>
      <c r="G21" s="40"/>
      <c r="H21" s="41"/>
      <c r="K21"/>
      <c r="N21"/>
      <c r="Q21"/>
    </row>
    <row r="22" spans="1:17" ht="15">
      <c r="A22" s="39" t="s">
        <v>138</v>
      </c>
      <c r="B22" s="42">
        <f>IF(B23&gt;($B$21+B30),"N/A",$B$13)</f>
        <v>0.5</v>
      </c>
      <c r="C22" s="42"/>
      <c r="D22" s="42">
        <f>IF(D23&gt;($B$21+D30),"N/A",$B$13)</f>
        <v>0.5</v>
      </c>
      <c r="E22" s="42"/>
      <c r="F22" s="42">
        <f>IF(F23&gt;($B$21+F30),"N/A",$B$13)</f>
        <v>0.5</v>
      </c>
      <c r="G22" s="40"/>
      <c r="H22" s="41"/>
      <c r="K22"/>
      <c r="N22"/>
      <c r="Q22"/>
    </row>
    <row r="23" spans="1:17" ht="15">
      <c r="A23" s="39" t="s">
        <v>120</v>
      </c>
      <c r="B23" s="42">
        <f>$K$8*(1-B12)/$K$12</f>
        <v>1.8984375</v>
      </c>
      <c r="C23" s="42"/>
      <c r="D23" s="42">
        <f>$K$8*(1-D12)/N12</f>
        <v>1.8984375</v>
      </c>
      <c r="E23" s="42"/>
      <c r="F23" s="42">
        <f>$K$8*(1-F12)/Q12</f>
        <v>1.8984375</v>
      </c>
      <c r="G23" s="40"/>
      <c r="H23" s="41"/>
      <c r="K23"/>
      <c r="N23"/>
      <c r="Q23"/>
    </row>
    <row r="24" spans="1:17" ht="15.75" thickBot="1">
      <c r="A24" s="43"/>
      <c r="B24" s="44"/>
      <c r="C24" s="40"/>
      <c r="D24" s="44"/>
      <c r="E24" s="40"/>
      <c r="F24" s="44"/>
      <c r="G24" s="40"/>
      <c r="H24" s="41"/>
      <c r="K24"/>
      <c r="N24"/>
      <c r="Q24"/>
    </row>
    <row r="25" spans="1:17" ht="15.75" thickBot="1">
      <c r="A25" s="39" t="s">
        <v>9</v>
      </c>
      <c r="B25" s="36" t="s">
        <v>10</v>
      </c>
      <c r="C25" s="40"/>
      <c r="D25" s="36" t="s">
        <v>10</v>
      </c>
      <c r="E25" s="40"/>
      <c r="F25" s="36" t="s">
        <v>10</v>
      </c>
      <c r="G25" s="40"/>
      <c r="H25" s="41"/>
      <c r="K25"/>
      <c r="N25"/>
      <c r="Q25"/>
    </row>
    <row r="26" spans="1:17" ht="15.75" thickBot="1">
      <c r="A26" s="39" t="s">
        <v>12</v>
      </c>
      <c r="B26" s="36">
        <f>$K$11</f>
        <v>139</v>
      </c>
      <c r="C26" s="40"/>
      <c r="D26" s="36">
        <f>$K$11</f>
        <v>139</v>
      </c>
      <c r="E26" s="40"/>
      <c r="F26" s="36">
        <f>$K$11</f>
        <v>139</v>
      </c>
      <c r="G26" s="40"/>
      <c r="H26" s="41"/>
      <c r="K26"/>
      <c r="N26"/>
      <c r="Q26"/>
    </row>
    <row r="27" spans="1:17" ht="15">
      <c r="A27" s="39" t="s">
        <v>17</v>
      </c>
      <c r="B27" s="42">
        <f>IF(B$6="Gallons",B$11/B26*$K$12/$K$13,B$11/B26*$K$12)</f>
        <v>3066.4748201438847</v>
      </c>
      <c r="C27" s="42"/>
      <c r="D27" s="42">
        <f>IF(D$6="Gallons",D$11/D26*N12/$K$13,D$11/D26*N12)</f>
        <v>3066.4748201438847</v>
      </c>
      <c r="E27" s="42"/>
      <c r="F27" s="42">
        <f>IF(F$6="Gallons",F$11/F26*Q12/$K$13,F$11/F26*Q12)</f>
        <v>3066.4748201438847</v>
      </c>
      <c r="G27" s="40"/>
      <c r="H27" s="41"/>
      <c r="K27"/>
      <c r="N27"/>
      <c r="Q27"/>
    </row>
    <row r="28" spans="1:17" ht="15">
      <c r="A28" s="43" t="s">
        <v>112</v>
      </c>
      <c r="B28" s="34">
        <f>IF(B16="Gallons",$K$12/$K$13/B26,$K$12/B26)</f>
        <v>8.287769784172662</v>
      </c>
      <c r="C28" s="34"/>
      <c r="D28" s="34">
        <f>IF(D16="Gallons",N12/$K$13/D26,N12/D26)</f>
        <v>8.287769784172662</v>
      </c>
      <c r="E28" s="34"/>
      <c r="F28" s="34">
        <f>IF(F16="Gallons",Q12/$K$13/F26,Q12/F26)</f>
        <v>8.287769784172662</v>
      </c>
      <c r="G28" s="40"/>
      <c r="H28" s="41"/>
      <c r="K28"/>
      <c r="N28"/>
      <c r="Q28"/>
    </row>
    <row r="29" spans="1:17" ht="15">
      <c r="A29" s="43" t="s">
        <v>113</v>
      </c>
      <c r="B29" s="34">
        <f>$K$12</f>
        <v>1152</v>
      </c>
      <c r="C29" s="34"/>
      <c r="D29" s="34">
        <f>N12</f>
        <v>1152</v>
      </c>
      <c r="E29" s="34"/>
      <c r="F29" s="34">
        <f>Q12</f>
        <v>1152</v>
      </c>
      <c r="G29" s="40"/>
      <c r="H29" s="41"/>
      <c r="K29"/>
      <c r="N29"/>
      <c r="Q29"/>
    </row>
    <row r="30" spans="1:17" ht="15">
      <c r="A30" s="39" t="s">
        <v>18</v>
      </c>
      <c r="B30" s="42">
        <f>B$11/B26</f>
        <v>2.661870503597122</v>
      </c>
      <c r="C30" s="42"/>
      <c r="D30" s="42">
        <f>D$11/D26</f>
        <v>2.661870503597122</v>
      </c>
      <c r="E30" s="42"/>
      <c r="F30" s="42">
        <f>F$11/F26</f>
        <v>2.661870503597122</v>
      </c>
      <c r="G30" s="40"/>
      <c r="H30" s="41"/>
      <c r="K30"/>
      <c r="N30"/>
      <c r="Q30"/>
    </row>
    <row r="31" spans="1:17" ht="15">
      <c r="A31" s="39" t="s">
        <v>138</v>
      </c>
      <c r="B31" s="42">
        <f>IF(B32&gt;B30,0,B13)</f>
        <v>0.5</v>
      </c>
      <c r="C31" s="42"/>
      <c r="D31" s="42">
        <f>IF(D32&gt;D30,0,D13)</f>
        <v>0.5</v>
      </c>
      <c r="E31" s="42"/>
      <c r="F31" s="42">
        <f>IF(F32&gt;F30,0,F13)</f>
        <v>0.5</v>
      </c>
      <c r="G31" s="40"/>
      <c r="H31" s="41"/>
      <c r="K31"/>
      <c r="N31"/>
      <c r="Q31"/>
    </row>
    <row r="32" spans="1:17" ht="15.75" thickBot="1">
      <c r="A32" s="45" t="s">
        <v>120</v>
      </c>
      <c r="B32" s="46">
        <f>$K$8*(1-B12)/$K$12</f>
        <v>1.8984375</v>
      </c>
      <c r="C32" s="46"/>
      <c r="D32" s="46">
        <f>$K$8*(1-D12)/N12</f>
        <v>1.8984375</v>
      </c>
      <c r="E32" s="46"/>
      <c r="F32" s="46">
        <f>$K$8*(1-F12)/Q12</f>
        <v>1.8984375</v>
      </c>
      <c r="G32" s="47"/>
      <c r="H32" s="48"/>
      <c r="K32"/>
      <c r="N32"/>
      <c r="Q32"/>
    </row>
    <row r="33" spans="1:6" ht="15">
      <c r="A33" s="6"/>
      <c r="B33" s="13"/>
      <c r="D33" s="13"/>
      <c r="F33" s="13"/>
    </row>
    <row r="34" spans="1:6" ht="15">
      <c r="A34" s="6"/>
      <c r="B34" s="13"/>
      <c r="D34" s="13"/>
      <c r="F34" s="13"/>
    </row>
    <row r="35" spans="1:6" ht="15">
      <c r="A35" s="6"/>
      <c r="B35" s="13"/>
      <c r="D35" s="13"/>
      <c r="F35" s="13"/>
    </row>
    <row r="36" spans="1:6" ht="15.75" thickBot="1">
      <c r="A36" s="6"/>
      <c r="B36" s="13"/>
      <c r="D36" s="13"/>
      <c r="F36" s="13"/>
    </row>
    <row r="37" ht="15.75" thickBot="1">
      <c r="H37" s="24"/>
    </row>
    <row r="38" spans="1:9" ht="15.75" thickBot="1">
      <c r="A38" t="s">
        <v>110</v>
      </c>
      <c r="B38" s="14">
        <f>(B18+B27)*B9</f>
        <v>0</v>
      </c>
      <c r="D38" s="14">
        <f>(D18+D27)*D9</f>
        <v>49063.597122302155</v>
      </c>
      <c r="F38" s="14">
        <f>(F18+F27)*F9</f>
        <v>42930.647482014385</v>
      </c>
      <c r="H38" s="49">
        <f>SUM(B38:F38)</f>
        <v>91994.24460431654</v>
      </c>
      <c r="I38" t="str">
        <f>IF($B$6="Gallons","Gallons Expended","Pounds Expended")</f>
        <v>Pounds Expended</v>
      </c>
    </row>
    <row r="39" spans="1:8" ht="15">
      <c r="A39" s="6" t="s">
        <v>24</v>
      </c>
      <c r="B39" s="18">
        <f>AVERAGE(B19,B28)</f>
        <v>8.287769784172662</v>
      </c>
      <c r="C39" s="17"/>
      <c r="D39" s="18">
        <f>AVERAGE(D19,D28)</f>
        <v>8.287769784172662</v>
      </c>
      <c r="E39" s="17"/>
      <c r="F39" s="18">
        <f>AVERAGE(F19,F28)</f>
        <v>8.287769784172662</v>
      </c>
      <c r="H39" s="26"/>
    </row>
    <row r="40" spans="1:8" ht="15">
      <c r="A40" s="6" t="s">
        <v>25</v>
      </c>
      <c r="B40" s="18">
        <f>AVERAGE(B20,B29)</f>
        <v>1152</v>
      </c>
      <c r="C40" s="19"/>
      <c r="D40" s="18">
        <f>AVERAGE(D20,D29)</f>
        <v>1152</v>
      </c>
      <c r="E40" s="19"/>
      <c r="F40" s="18">
        <f>AVERAGE(F20,F29)</f>
        <v>1152</v>
      </c>
      <c r="H40" s="26"/>
    </row>
    <row r="41" spans="1:8" ht="15">
      <c r="A41" s="6" t="s">
        <v>26</v>
      </c>
      <c r="B41" s="18"/>
      <c r="C41" s="17"/>
      <c r="D41" s="18"/>
      <c r="E41" s="17"/>
      <c r="F41" s="18"/>
      <c r="H41" s="26"/>
    </row>
    <row r="42" ht="15.75" thickBot="1">
      <c r="H42" s="26"/>
    </row>
    <row r="43" spans="1:9" ht="15.75" thickBot="1">
      <c r="A43" t="s">
        <v>115</v>
      </c>
      <c r="B43" s="55">
        <f>IF($B$6="Gallons",B38*$B$5,$B$5/$K$13*B38)</f>
        <v>0</v>
      </c>
      <c r="C43" s="51"/>
      <c r="D43" s="55">
        <f>IF($B$6="Gallons",D38*$B$5,$B$5/$K$13*D38)</f>
        <v>94492.85371702637</v>
      </c>
      <c r="E43" s="51"/>
      <c r="F43" s="55">
        <f>IF($B$6="Gallons",F38*$B$5,$B$5/$K$13*F38)</f>
        <v>82681.24700239807</v>
      </c>
      <c r="H43" s="27">
        <f>SUM(B43:F43)</f>
        <v>177174.10071942443</v>
      </c>
      <c r="I43" t="s">
        <v>2</v>
      </c>
    </row>
    <row r="44" spans="1:8" ht="15">
      <c r="A44" s="6" t="s">
        <v>28</v>
      </c>
      <c r="B44" s="53" t="e">
        <f>B43/(B11*B9)</f>
        <v>#DIV/0!</v>
      </c>
      <c r="C44" s="54"/>
      <c r="D44" s="53">
        <f>D43/(D11*D9)</f>
        <v>31.923261390887287</v>
      </c>
      <c r="E44" s="54"/>
      <c r="F44" s="53">
        <f>F43/(F11*F9)</f>
        <v>31.923261390887287</v>
      </c>
      <c r="H44" s="26"/>
    </row>
    <row r="45" spans="1:8" ht="15">
      <c r="A45" s="6" t="s">
        <v>29</v>
      </c>
      <c r="B45" s="53">
        <f>IF($B$6="Gallons",B40*B5,B40*B5/$K$13)</f>
        <v>2218.6666666666665</v>
      </c>
      <c r="C45" s="54"/>
      <c r="D45" s="53">
        <f>IF($B$6="Gallons",D40*D5,D40*D5/$K$13)</f>
        <v>2218.6666666666665</v>
      </c>
      <c r="E45" s="54"/>
      <c r="F45" s="53">
        <f>IF($B$6="Gallons",F40*F5,F40*F5/$K$13)</f>
        <v>2218.6666666666665</v>
      </c>
      <c r="H45" s="26"/>
    </row>
    <row r="46" spans="1:8" ht="15">
      <c r="A46" s="6" t="s">
        <v>30</v>
      </c>
      <c r="B46" s="50"/>
      <c r="C46" s="54"/>
      <c r="D46" s="50"/>
      <c r="E46" s="54"/>
      <c r="F46" s="50"/>
      <c r="H46" s="26"/>
    </row>
    <row r="47" ht="15.75" thickBot="1">
      <c r="H47" s="26"/>
    </row>
    <row r="48" spans="1:9" ht="15.75" thickBot="1">
      <c r="A48" t="s">
        <v>119</v>
      </c>
      <c r="B48" s="14">
        <f>B21+B30+B22+B31</f>
        <v>6.323741007194244</v>
      </c>
      <c r="D48" s="14">
        <f>D21+D30+D22+D31</f>
        <v>6.323741007194244</v>
      </c>
      <c r="F48" s="14">
        <f>F21+F30+F22+F31</f>
        <v>6.323741007194244</v>
      </c>
      <c r="H48" s="25">
        <f>SUM(B48:F48)</f>
        <v>18.971223021582734</v>
      </c>
      <c r="I48" t="s">
        <v>3</v>
      </c>
    </row>
    <row r="49" spans="1:9" ht="15.75" thickBot="1">
      <c r="A49" t="s">
        <v>138</v>
      </c>
      <c r="B49" s="14">
        <f>IF(B22="N/A","N/A",B22)</f>
        <v>0.5</v>
      </c>
      <c r="C49" s="15"/>
      <c r="D49" s="14">
        <f>IF(D22="N/A","N/A",D22)</f>
        <v>0.5</v>
      </c>
      <c r="E49" s="15"/>
      <c r="F49" s="14">
        <f>IF(F22="N/A","N/A",F22)</f>
        <v>0.5</v>
      </c>
      <c r="H49" s="25">
        <f>SUM(B49:F49)</f>
        <v>1.5</v>
      </c>
      <c r="I49" t="s">
        <v>4</v>
      </c>
    </row>
    <row r="50" spans="1:8" ht="15.75" thickBot="1">
      <c r="A50" t="s">
        <v>120</v>
      </c>
      <c r="B50" s="14">
        <f>K8*(1-F12)/K12</f>
        <v>1.8984375</v>
      </c>
      <c r="D50" s="14">
        <f>D32</f>
        <v>1.8984375</v>
      </c>
      <c r="F50" s="14">
        <f>F32</f>
        <v>1.8984375</v>
      </c>
      <c r="H50" s="25">
        <f>SUM(B50:F50)</f>
        <v>5.6953125</v>
      </c>
    </row>
    <row r="51" spans="1:9" ht="15.75" thickBot="1">
      <c r="A51" t="s">
        <v>27</v>
      </c>
      <c r="B51" s="11">
        <f>B9*K7</f>
        <v>0</v>
      </c>
      <c r="D51" s="11">
        <f>D9*N7</f>
        <v>88</v>
      </c>
      <c r="F51" s="11">
        <f>F9*Q7</f>
        <v>77</v>
      </c>
      <c r="H51" s="49">
        <f>SUM(B51:F51)</f>
        <v>165</v>
      </c>
      <c r="I51" t="s">
        <v>40</v>
      </c>
    </row>
    <row r="54" ht="15.75" thickBot="1"/>
    <row r="55" spans="8:14" ht="18.75">
      <c r="H55" s="127" t="s">
        <v>144</v>
      </c>
      <c r="I55" s="128"/>
      <c r="J55" s="129"/>
      <c r="N55"/>
    </row>
    <row r="56" spans="8:14" ht="15">
      <c r="H56" s="107">
        <f>VLOOKUP(H55,Technologies!$A$2:$F$10,2,FALSE)</f>
        <v>0.05068</v>
      </c>
      <c r="I56" s="108">
        <f>IF(OR(H55=Technologies!$A$6,H55=Technologies!$A$7,H55=Technologies!$A$8,H55=Technologies!$A$14),VLOOKUP(H55,Technologies!$A$2:$C$15,3,FALSE),$B$5)</f>
        <v>3</v>
      </c>
      <c r="J56" s="109"/>
      <c r="N56"/>
    </row>
    <row r="57" spans="8:14" ht="15">
      <c r="H57" s="110">
        <f>(1-H56)*H38</f>
        <v>87331.97628776978</v>
      </c>
      <c r="I57" s="122" t="str">
        <f>I38</f>
        <v>Pounds Expended</v>
      </c>
      <c r="J57" s="123"/>
      <c r="N57" t="s">
        <v>169</v>
      </c>
    </row>
    <row r="58" spans="8:15" ht="15">
      <c r="H58" s="111"/>
      <c r="I58" s="108"/>
      <c r="J58" s="109"/>
      <c r="N58" t="s">
        <v>171</v>
      </c>
      <c r="O58" t="s">
        <v>172</v>
      </c>
    </row>
    <row r="59" spans="8:15" ht="15.75" thickBot="1">
      <c r="H59" s="113">
        <f>I56/$K$13*H57</f>
        <v>38814.211683453235</v>
      </c>
      <c r="I59" s="124" t="str">
        <f>I43</f>
        <v>$ Expended</v>
      </c>
      <c r="J59" s="125"/>
      <c r="M59" t="s">
        <v>80</v>
      </c>
      <c r="N59" s="114">
        <f>H38</f>
        <v>91994.24460431654</v>
      </c>
      <c r="O59" s="51">
        <f>H43</f>
        <v>177174.10071942443</v>
      </c>
    </row>
    <row r="60" spans="13:15" ht="15.75" thickBot="1">
      <c r="M60" t="str">
        <f>H55</f>
        <v>Algal Biofuel + Composite</v>
      </c>
      <c r="N60" s="114">
        <f>H57</f>
        <v>87331.97628776978</v>
      </c>
      <c r="O60" s="51">
        <f>H59</f>
        <v>38814.211683453235</v>
      </c>
    </row>
    <row r="61" spans="8:15" ht="15">
      <c r="H61" s="119" t="str">
        <f>IF(H55=Technologies!$A$3,"Driveshaft Removal Not Applicable","Also Remove Driveshaft")</f>
        <v>Also Remove Driveshaft</v>
      </c>
      <c r="I61" s="120"/>
      <c r="J61" s="121"/>
      <c r="M61" t="s">
        <v>170</v>
      </c>
      <c r="N61" s="114">
        <f>H63</f>
        <v>87101.99067625898</v>
      </c>
      <c r="O61" s="52">
        <f>H65</f>
        <v>38711.9958561151</v>
      </c>
    </row>
    <row r="62" spans="8:14" ht="15">
      <c r="H62" s="107">
        <f>H56+Technologies!$E$18</f>
        <v>0.053180000000000005</v>
      </c>
      <c r="I62" s="108">
        <f>I56</f>
        <v>3</v>
      </c>
      <c r="J62" s="109"/>
      <c r="N62"/>
    </row>
    <row r="63" spans="8:14" ht="15">
      <c r="H63" s="110">
        <f>(1-H62)*H38</f>
        <v>87101.99067625898</v>
      </c>
      <c r="I63" s="122" t="str">
        <f>I38</f>
        <v>Pounds Expended</v>
      </c>
      <c r="J63" s="123"/>
      <c r="N63"/>
    </row>
    <row r="64" spans="8:14" ht="15">
      <c r="H64" s="111"/>
      <c r="I64" s="108"/>
      <c r="J64" s="109"/>
      <c r="N64"/>
    </row>
    <row r="65" spans="8:14" ht="15.75" thickBot="1">
      <c r="H65" s="113">
        <f>I62/$K$13*H63</f>
        <v>38711.9958561151</v>
      </c>
      <c r="I65" s="124" t="str">
        <f>I43</f>
        <v>$ Expended</v>
      </c>
      <c r="J65" s="125"/>
      <c r="N65"/>
    </row>
  </sheetData>
  <sheetProtection/>
  <mergeCells count="7">
    <mergeCell ref="I65:J65"/>
    <mergeCell ref="A1:Q1"/>
    <mergeCell ref="H55:J55"/>
    <mergeCell ref="I57:J57"/>
    <mergeCell ref="I59:J59"/>
    <mergeCell ref="H61:J61"/>
    <mergeCell ref="I63:J63"/>
  </mergeCells>
  <dataValidations count="5">
    <dataValidation type="list" allowBlank="1" showInputMessage="1" showErrorMessage="1" sqref="F25 B16 F16 D10 F10 D16 B10 B25 D25">
      <formula1>Lift</formula1>
    </dataValidation>
    <dataValidation type="list" allowBlank="1" showInputMessage="1" showErrorMessage="1" sqref="D3 F3 B3">
      <formula1>Aircraft_Type</formula1>
    </dataValidation>
    <dataValidation type="list" allowBlank="1" showInputMessage="1" showErrorMessage="1" sqref="D6:D7 F6:F7 B6:B7">
      <formula1>Unit</formula1>
    </dataValidation>
    <dataValidation type="list" allowBlank="1" showInputMessage="1" showErrorMessage="1" sqref="D8 F8 B8">
      <formula1>Location</formula1>
    </dataValidation>
    <dataValidation type="list" allowBlank="1" showInputMessage="1" showErrorMessage="1" sqref="H55">
      <formula1>Technologies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zoomScale="70" zoomScaleNormal="70" zoomScalePageLayoutView="70" workbookViewId="0" topLeftCell="A1">
      <selection activeCell="E37" sqref="E37"/>
    </sheetView>
  </sheetViews>
  <sheetFormatPr defaultColWidth="8.8515625" defaultRowHeight="15"/>
  <cols>
    <col min="1" max="1" width="30.421875" style="0" customWidth="1"/>
    <col min="2" max="2" width="12.421875" style="11" customWidth="1"/>
    <col min="3" max="3" width="7.421875" style="0" customWidth="1"/>
    <col min="4" max="4" width="12.421875" style="11" customWidth="1"/>
    <col min="5" max="5" width="5.421875" style="0" customWidth="1"/>
    <col min="6" max="6" width="12.421875" style="11" customWidth="1"/>
    <col min="7" max="7" width="3.7109375" style="0" customWidth="1"/>
    <col min="8" max="8" width="10.140625" style="23" customWidth="1"/>
    <col min="9" max="9" width="16.7109375" style="0" customWidth="1"/>
    <col min="10" max="10" width="25.140625" style="0" customWidth="1"/>
    <col min="11" max="11" width="10.421875" style="115" customWidth="1"/>
    <col min="12" max="12" width="8.8515625" style="0" customWidth="1"/>
    <col min="13" max="13" width="25.140625" style="0" customWidth="1"/>
    <col min="14" max="14" width="10.421875" style="115" customWidth="1"/>
    <col min="15" max="15" width="8.8515625" style="0" customWidth="1"/>
    <col min="16" max="16" width="25.140625" style="0" customWidth="1"/>
    <col min="17" max="17" width="10.421875" style="115" customWidth="1"/>
  </cols>
  <sheetData>
    <row r="1" spans="1:17" ht="18.75">
      <c r="A1" s="126" t="s">
        <v>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ht="15.75" thickBot="1"/>
    <row r="3" spans="1:17" ht="15.75" thickBot="1">
      <c r="A3" t="s">
        <v>108</v>
      </c>
      <c r="B3" s="100" t="s">
        <v>102</v>
      </c>
      <c r="D3" s="100" t="s">
        <v>102</v>
      </c>
      <c r="F3" s="100" t="s">
        <v>102</v>
      </c>
      <c r="J3" t="s">
        <v>109</v>
      </c>
      <c r="K3" s="115" t="str">
        <f>B3</f>
        <v>UH-60M</v>
      </c>
      <c r="M3" t="s">
        <v>109</v>
      </c>
      <c r="N3" s="115" t="str">
        <f>D3</f>
        <v>UH-60M</v>
      </c>
      <c r="P3" t="s">
        <v>109</v>
      </c>
      <c r="Q3" s="115" t="str">
        <f>F3</f>
        <v>UH-60M</v>
      </c>
    </row>
    <row r="4" spans="10:17" ht="15.75" thickBot="1">
      <c r="J4" s="7" t="s">
        <v>87</v>
      </c>
      <c r="K4" s="56" t="str">
        <f>HLOOKUP(B3,Reference!$B$2:$L$13,2,FALSE)</f>
        <v>Movement/Assault</v>
      </c>
      <c r="M4" s="7" t="s">
        <v>87</v>
      </c>
      <c r="N4" s="56" t="str">
        <f>HLOOKUP($D$3,Reference!$B$2:$L$13,2,FALSE)</f>
        <v>Movement/Assault</v>
      </c>
      <c r="P4" s="7" t="s">
        <v>87</v>
      </c>
      <c r="Q4" s="56" t="str">
        <f>HLOOKUP(F3,Reference!$B$2:$L$13,2,FALSE)</f>
        <v>Movement/Assault</v>
      </c>
    </row>
    <row r="5" spans="1:17" ht="15.75" thickBot="1">
      <c r="A5" t="s">
        <v>137</v>
      </c>
      <c r="B5" s="101">
        <v>13</v>
      </c>
      <c r="D5" s="22">
        <v>13</v>
      </c>
      <c r="F5" s="22">
        <v>13</v>
      </c>
      <c r="J5" s="7" t="s">
        <v>94</v>
      </c>
      <c r="K5" s="8">
        <f>HLOOKUP(B3,Reference!B2:L13,3,FALSE)</f>
        <v>0</v>
      </c>
      <c r="M5" s="7" t="s">
        <v>94</v>
      </c>
      <c r="N5" s="56">
        <f>HLOOKUP($D$3,Reference!$B$2:$L$13,3,FALSE)</f>
        <v>0</v>
      </c>
      <c r="P5" s="7" t="s">
        <v>94</v>
      </c>
      <c r="Q5" s="56">
        <f>HLOOKUP(F3,Reference!$B$2:$L$13,3,FALSE)</f>
        <v>0</v>
      </c>
    </row>
    <row r="6" spans="1:17" ht="15.75" thickBot="1">
      <c r="A6" t="s">
        <v>111</v>
      </c>
      <c r="B6" s="33" t="s">
        <v>122</v>
      </c>
      <c r="D6" s="21" t="s">
        <v>122</v>
      </c>
      <c r="F6" s="21" t="s">
        <v>122</v>
      </c>
      <c r="J6" s="7" t="s">
        <v>95</v>
      </c>
      <c r="K6" s="8">
        <f>HLOOKUP(B3,Reference!B2:L13,4,FALSE)</f>
        <v>0</v>
      </c>
      <c r="M6" s="7" t="s">
        <v>95</v>
      </c>
      <c r="N6" s="56">
        <f>HLOOKUP($D$3,Reference!$B$2:$L$13,4,FALSE)</f>
        <v>0</v>
      </c>
      <c r="P6" s="7" t="s">
        <v>95</v>
      </c>
      <c r="Q6" s="56">
        <f>HLOOKUP(F3,Reference!$B$2:$L$13,4,FALSE)</f>
        <v>0</v>
      </c>
    </row>
    <row r="7" spans="2:17" ht="15.75" thickBot="1">
      <c r="B7" s="13"/>
      <c r="D7" s="13"/>
      <c r="F7" s="13"/>
      <c r="J7" s="7" t="s">
        <v>103</v>
      </c>
      <c r="K7" s="8">
        <f>HLOOKUP(B3,Reference!B2:L13,5,FALSE)</f>
        <v>11</v>
      </c>
      <c r="M7" s="7" t="s">
        <v>103</v>
      </c>
      <c r="N7" s="56">
        <f>HLOOKUP($D$3,Reference!$B$2:$L$13,5,FALSE)</f>
        <v>11</v>
      </c>
      <c r="P7" s="7" t="s">
        <v>103</v>
      </c>
      <c r="Q7" s="56">
        <f>HLOOKUP(F3,Reference!$B$2:$L$13,5,FALSE)</f>
        <v>11</v>
      </c>
    </row>
    <row r="8" spans="1:17" ht="15.75" thickBot="1">
      <c r="A8" t="s">
        <v>124</v>
      </c>
      <c r="B8" s="100" t="s">
        <v>132</v>
      </c>
      <c r="D8" s="100" t="s">
        <v>132</v>
      </c>
      <c r="F8" s="100" t="s">
        <v>132</v>
      </c>
      <c r="J8" s="7" t="s">
        <v>100</v>
      </c>
      <c r="K8" s="8">
        <f>HLOOKUP(B3,Reference!B2:L13,6,FALSE)</f>
        <v>2430</v>
      </c>
      <c r="M8" s="7" t="s">
        <v>100</v>
      </c>
      <c r="N8" s="56">
        <f>HLOOKUP($D$3,Reference!$B$2:$L$13,6,FALSE)</f>
        <v>2430</v>
      </c>
      <c r="P8" s="7" t="s">
        <v>100</v>
      </c>
      <c r="Q8" s="56">
        <f>HLOOKUP(F3,Reference!$B$2:$L$13,6,FALSE)</f>
        <v>2430</v>
      </c>
    </row>
    <row r="9" spans="1:17" ht="15.75" thickBot="1">
      <c r="A9" t="s">
        <v>123</v>
      </c>
      <c r="B9" s="100">
        <v>15</v>
      </c>
      <c r="D9" s="100">
        <v>8</v>
      </c>
      <c r="F9" s="100">
        <v>5</v>
      </c>
      <c r="J9" s="9" t="s">
        <v>106</v>
      </c>
      <c r="K9" s="10">
        <f>HLOOKUP(B3,Reference!B2:L13,7,FALSE)</f>
        <v>2.5</v>
      </c>
      <c r="M9" s="9" t="s">
        <v>106</v>
      </c>
      <c r="N9" s="56">
        <f>HLOOKUP($D$3,Reference!$B$2:$L$13,7,FALSE)</f>
        <v>2.5</v>
      </c>
      <c r="P9" s="9" t="s">
        <v>106</v>
      </c>
      <c r="Q9" s="56">
        <f>HLOOKUP(F3,Reference!$B$2:$L$13,7,FALSE)</f>
        <v>2.5</v>
      </c>
    </row>
    <row r="10" spans="1:17" ht="15.75" thickBot="1">
      <c r="A10" t="s">
        <v>20</v>
      </c>
      <c r="B10" s="100" t="s">
        <v>34</v>
      </c>
      <c r="D10" s="100" t="s">
        <v>91</v>
      </c>
      <c r="F10" s="100" t="s">
        <v>35</v>
      </c>
      <c r="J10" s="9" t="s">
        <v>107</v>
      </c>
      <c r="K10" s="8">
        <f>HLOOKUP(B3,Reference!B2:L13,8,FALSE)</f>
        <v>319</v>
      </c>
      <c r="M10" s="9" t="s">
        <v>107</v>
      </c>
      <c r="N10" s="56">
        <f>HLOOKUP($D$3,Reference!$B$2:$L$13,8,FALSE)</f>
        <v>319</v>
      </c>
      <c r="P10" s="9" t="s">
        <v>107</v>
      </c>
      <c r="Q10" s="56">
        <f>HLOOKUP(F3,Reference!$B$2:$L$13,8,FALSE)</f>
        <v>319</v>
      </c>
    </row>
    <row r="11" spans="1:17" ht="15.75" thickBot="1">
      <c r="A11" t="s">
        <v>175</v>
      </c>
      <c r="B11" s="100">
        <v>215</v>
      </c>
      <c r="D11" s="100">
        <v>215</v>
      </c>
      <c r="F11" s="100">
        <v>215</v>
      </c>
      <c r="J11" s="7" t="s">
        <v>96</v>
      </c>
      <c r="K11" s="8">
        <f>HLOOKUP(B3,Reference!B2:L13,9,FALSE)</f>
        <v>139</v>
      </c>
      <c r="M11" s="7" t="s">
        <v>96</v>
      </c>
      <c r="N11" s="56">
        <v>139</v>
      </c>
      <c r="P11" s="7" t="s">
        <v>96</v>
      </c>
      <c r="Q11" s="56">
        <v>139</v>
      </c>
    </row>
    <row r="12" spans="1:17" ht="15.75" thickBot="1">
      <c r="A12" t="s">
        <v>135</v>
      </c>
      <c r="B12" s="102">
        <v>0.1</v>
      </c>
      <c r="D12" s="102">
        <v>0.1</v>
      </c>
      <c r="F12" s="102">
        <v>0.1</v>
      </c>
      <c r="J12" s="7" t="s">
        <v>97</v>
      </c>
      <c r="K12" s="8">
        <f>HLOOKUP(B3,Reference!B2:L13,10,FALSE)</f>
        <v>1152</v>
      </c>
      <c r="M12" s="7" t="s">
        <v>97</v>
      </c>
      <c r="N12" s="56">
        <f>HLOOKUP($D$3,Reference!$B$2:$L$13,10,FALSE)</f>
        <v>1152</v>
      </c>
      <c r="P12" s="7" t="s">
        <v>97</v>
      </c>
      <c r="Q12" s="56">
        <f>HLOOKUP(F3,Reference!$B$2:$L$13,10,FALSE)</f>
        <v>1152</v>
      </c>
    </row>
    <row r="13" spans="1:17" ht="15.75" thickBot="1">
      <c r="A13" t="s">
        <v>0</v>
      </c>
      <c r="B13" s="100">
        <v>0.5</v>
      </c>
      <c r="D13" s="100">
        <v>0.5</v>
      </c>
      <c r="F13" s="100">
        <v>0.5</v>
      </c>
      <c r="J13" s="7" t="s">
        <v>98</v>
      </c>
      <c r="K13" s="8">
        <f>HLOOKUP(B3,Reference!B2:L13,11,FALSE)</f>
        <v>6.75</v>
      </c>
      <c r="M13" s="7" t="s">
        <v>98</v>
      </c>
      <c r="N13" s="56">
        <f>HLOOKUP($D$3,Reference!$B$2:$L$13,11,FALSE)</f>
        <v>6.75</v>
      </c>
      <c r="P13" s="7" t="s">
        <v>98</v>
      </c>
      <c r="Q13" s="56">
        <f>HLOOKUP(F3,Reference!$B$2:$L$13,11,FALSE)</f>
        <v>6.75</v>
      </c>
    </row>
    <row r="14" spans="2:17" ht="33.75" customHeight="1">
      <c r="B14" s="13"/>
      <c r="D14" s="13"/>
      <c r="F14" s="13"/>
      <c r="J14" s="7" t="s">
        <v>104</v>
      </c>
      <c r="K14" s="8" t="str">
        <f>HLOOKUP(B3,Reference!B2:L13,12,FALSE)</f>
        <v>Sea Level</v>
      </c>
      <c r="M14" s="7" t="s">
        <v>104</v>
      </c>
      <c r="N14" s="56" t="str">
        <f>HLOOKUP($D$3,Reference!$B$2:$L$13,12,FALSE)</f>
        <v>Sea Level</v>
      </c>
      <c r="P14" s="7" t="s">
        <v>104</v>
      </c>
      <c r="Q14" s="56" t="str">
        <f>HLOOKUP(F3,Reference!$B$2:$L$13,12,FALSE)</f>
        <v>Sea Level</v>
      </c>
    </row>
    <row r="15" spans="1:6" ht="15.75" thickBot="1">
      <c r="A15" t="s">
        <v>22</v>
      </c>
      <c r="B15" s="13"/>
      <c r="D15" s="13"/>
      <c r="F15" s="13"/>
    </row>
    <row r="16" spans="1:17" ht="15.75" thickBot="1">
      <c r="A16" s="35" t="s">
        <v>8</v>
      </c>
      <c r="B16" s="36" t="s">
        <v>34</v>
      </c>
      <c r="C16" s="37"/>
      <c r="D16" s="36" t="s">
        <v>7</v>
      </c>
      <c r="E16" s="37"/>
      <c r="F16" s="36" t="s">
        <v>33</v>
      </c>
      <c r="G16" s="37"/>
      <c r="H16" s="38"/>
      <c r="K16"/>
      <c r="N16"/>
      <c r="Q16"/>
    </row>
    <row r="17" spans="1:17" ht="15.75" thickBot="1">
      <c r="A17" s="39" t="s">
        <v>11</v>
      </c>
      <c r="B17" s="36">
        <f>K11</f>
        <v>139</v>
      </c>
      <c r="C17" s="40"/>
      <c r="D17" s="36">
        <f>N11</f>
        <v>139</v>
      </c>
      <c r="E17" s="40"/>
      <c r="F17" s="36">
        <f>Q11</f>
        <v>139</v>
      </c>
      <c r="G17" s="40"/>
      <c r="H17" s="41"/>
      <c r="K17"/>
      <c r="N17"/>
      <c r="Q17"/>
    </row>
    <row r="18" spans="1:17" ht="15">
      <c r="A18" s="39" t="s">
        <v>15</v>
      </c>
      <c r="B18" s="42">
        <f>IF(B$6="Gallons",B$11/B17*$K$12/$K$13,B$11/B17*$K$12)</f>
        <v>1781.8705035971223</v>
      </c>
      <c r="C18" s="42"/>
      <c r="D18" s="42">
        <f>IF(D$6="Gallons",D$11/D17*N12/$K$13,D$11/D17*N12)</f>
        <v>1781.8705035971223</v>
      </c>
      <c r="E18" s="42"/>
      <c r="F18" s="42">
        <f>IF(F$6="Gallons",F$11/F17*Q12/$K$13,F$11/F17*Q12)</f>
        <v>1781.8705035971223</v>
      </c>
      <c r="G18" s="40"/>
      <c r="H18" s="41"/>
      <c r="K18"/>
      <c r="N18"/>
      <c r="Q18"/>
    </row>
    <row r="19" spans="1:17" ht="15">
      <c r="A19" s="43" t="s">
        <v>112</v>
      </c>
      <c r="B19" s="34">
        <f>IF(B6="Gallons",$K$12/$K$13/B17,$K$12/B17)</f>
        <v>8.287769784172662</v>
      </c>
      <c r="C19" s="34"/>
      <c r="D19" s="34">
        <f>IF(D6="Gallons",N12/$K$13/D17,N12/D17)</f>
        <v>8.287769784172662</v>
      </c>
      <c r="E19" s="34"/>
      <c r="F19" s="34">
        <f>IF(F6="Gallons",Q12/$K$13/F17,Q12/F17)</f>
        <v>8.287769784172662</v>
      </c>
      <c r="G19" s="40"/>
      <c r="H19" s="41"/>
      <c r="K19"/>
      <c r="N19"/>
      <c r="Q19"/>
    </row>
    <row r="20" spans="1:17" ht="15">
      <c r="A20" s="43" t="s">
        <v>113</v>
      </c>
      <c r="B20" s="34">
        <f>$K$12</f>
        <v>1152</v>
      </c>
      <c r="C20" s="34"/>
      <c r="D20" s="34">
        <f>N12</f>
        <v>1152</v>
      </c>
      <c r="E20" s="34"/>
      <c r="F20" s="34">
        <f>Q12</f>
        <v>1152</v>
      </c>
      <c r="G20" s="40"/>
      <c r="H20" s="41"/>
      <c r="K20"/>
      <c r="N20"/>
      <c r="Q20"/>
    </row>
    <row r="21" spans="1:17" ht="15">
      <c r="A21" s="39" t="s">
        <v>16</v>
      </c>
      <c r="B21" s="42">
        <f>B$11/B17</f>
        <v>1.5467625899280575</v>
      </c>
      <c r="C21" s="42"/>
      <c r="D21" s="42">
        <f>D$11/D17</f>
        <v>1.5467625899280575</v>
      </c>
      <c r="E21" s="42"/>
      <c r="F21" s="42">
        <f>F$11/F17</f>
        <v>1.5467625899280575</v>
      </c>
      <c r="G21" s="40"/>
      <c r="H21" s="41"/>
      <c r="K21"/>
      <c r="N21"/>
      <c r="Q21"/>
    </row>
    <row r="22" spans="1:17" ht="15">
      <c r="A22" s="39" t="s">
        <v>138</v>
      </c>
      <c r="B22" s="42">
        <f>IF(B23&gt;(B21+B30),"N/A",B13)</f>
        <v>0.5</v>
      </c>
      <c r="C22" s="42"/>
      <c r="D22" s="42">
        <f>IF(D23&gt;(D21+D30),"N/A",D13)</f>
        <v>0.5</v>
      </c>
      <c r="E22" s="42"/>
      <c r="F22" s="42">
        <f>IF(F23&gt;(F21+F30),"N/A",F13)</f>
        <v>0.5</v>
      </c>
      <c r="G22" s="40"/>
      <c r="H22" s="41"/>
      <c r="K22"/>
      <c r="N22"/>
      <c r="Q22"/>
    </row>
    <row r="23" spans="1:17" ht="15">
      <c r="A23" s="39" t="s">
        <v>120</v>
      </c>
      <c r="B23" s="42">
        <f>$K$8*(1-B12)/$K$12</f>
        <v>1.8984375</v>
      </c>
      <c r="C23" s="42"/>
      <c r="D23" s="42">
        <f>$K$8*(1-D12)/N12</f>
        <v>1.8984375</v>
      </c>
      <c r="E23" s="42"/>
      <c r="F23" s="42">
        <f>$K$8*(1-F12)/Q12</f>
        <v>1.8984375</v>
      </c>
      <c r="G23" s="40"/>
      <c r="H23" s="41"/>
      <c r="K23"/>
      <c r="N23"/>
      <c r="Q23"/>
    </row>
    <row r="24" spans="1:17" ht="15.75" thickBot="1">
      <c r="A24" s="43"/>
      <c r="B24" s="44"/>
      <c r="C24" s="40"/>
      <c r="D24" s="44"/>
      <c r="E24" s="40"/>
      <c r="F24" s="44"/>
      <c r="G24" s="40"/>
      <c r="H24" s="41"/>
      <c r="K24"/>
      <c r="N24"/>
      <c r="Q24"/>
    </row>
    <row r="25" spans="1:17" ht="15.75" thickBot="1">
      <c r="A25" s="39" t="s">
        <v>9</v>
      </c>
      <c r="B25" s="36" t="s">
        <v>10</v>
      </c>
      <c r="C25" s="40"/>
      <c r="D25" s="36" t="s">
        <v>10</v>
      </c>
      <c r="E25" s="40"/>
      <c r="F25" s="36" t="s">
        <v>10</v>
      </c>
      <c r="G25" s="40"/>
      <c r="H25" s="41"/>
      <c r="K25"/>
      <c r="N25"/>
      <c r="Q25"/>
    </row>
    <row r="26" spans="1:17" ht="15.75" thickBot="1">
      <c r="A26" s="39" t="s">
        <v>12</v>
      </c>
      <c r="B26" s="36">
        <f>B17</f>
        <v>139</v>
      </c>
      <c r="C26" s="40"/>
      <c r="D26" s="36">
        <f>D17</f>
        <v>139</v>
      </c>
      <c r="E26" s="40"/>
      <c r="F26" s="36">
        <f>F17</f>
        <v>139</v>
      </c>
      <c r="G26" s="40"/>
      <c r="H26" s="41"/>
      <c r="K26"/>
      <c r="N26"/>
      <c r="Q26"/>
    </row>
    <row r="27" spans="1:17" ht="15">
      <c r="A27" s="39" t="s">
        <v>17</v>
      </c>
      <c r="B27" s="42">
        <f>IF(B$6="Gallons",B$11/B26*$K$12/$K$13,B$11/B26*$K$12)</f>
        <v>1781.8705035971223</v>
      </c>
      <c r="C27" s="42"/>
      <c r="D27" s="42">
        <f>IF(D$6="Gallons",D$11/D26*N12/$K$13,D$11/D26*N12)</f>
        <v>1781.8705035971223</v>
      </c>
      <c r="E27" s="42"/>
      <c r="F27" s="42">
        <f>IF(F$6="Gallons",F$11/F26*Q12/$K$13,F$11/F26*Q12)</f>
        <v>1781.8705035971223</v>
      </c>
      <c r="G27" s="40"/>
      <c r="H27" s="41"/>
      <c r="K27"/>
      <c r="N27"/>
      <c r="Q27"/>
    </row>
    <row r="28" spans="1:17" ht="15">
      <c r="A28" s="43" t="s">
        <v>112</v>
      </c>
      <c r="B28" s="34">
        <f>IF(B16="Gallons",$K$12/$K$13/B26,$K$12/B26)</f>
        <v>8.287769784172662</v>
      </c>
      <c r="C28" s="34"/>
      <c r="D28" s="34">
        <f>IF(D16="Gallons",N12/$K$13/D26,N12/D26)</f>
        <v>8.287769784172662</v>
      </c>
      <c r="E28" s="34"/>
      <c r="F28" s="34">
        <f>IF(F16="Gallons",Q12/$K$13/F26,Q12/F26)</f>
        <v>8.287769784172662</v>
      </c>
      <c r="G28" s="40"/>
      <c r="H28" s="41"/>
      <c r="K28"/>
      <c r="N28"/>
      <c r="Q28"/>
    </row>
    <row r="29" spans="1:17" ht="15">
      <c r="A29" s="43" t="s">
        <v>113</v>
      </c>
      <c r="B29" s="34">
        <f>$K$12</f>
        <v>1152</v>
      </c>
      <c r="C29" s="34"/>
      <c r="D29" s="34">
        <f>N12</f>
        <v>1152</v>
      </c>
      <c r="E29" s="34"/>
      <c r="F29" s="34">
        <f>Q12</f>
        <v>1152</v>
      </c>
      <c r="G29" s="40"/>
      <c r="H29" s="41"/>
      <c r="K29"/>
      <c r="N29"/>
      <c r="Q29"/>
    </row>
    <row r="30" spans="1:17" ht="15">
      <c r="A30" s="39" t="s">
        <v>18</v>
      </c>
      <c r="B30" s="42">
        <f>B$11/B26</f>
        <v>1.5467625899280575</v>
      </c>
      <c r="C30" s="42"/>
      <c r="D30" s="42">
        <f>D$11/D26</f>
        <v>1.5467625899280575</v>
      </c>
      <c r="E30" s="42"/>
      <c r="F30" s="42">
        <f>F$11/F26</f>
        <v>1.5467625899280575</v>
      </c>
      <c r="G30" s="40"/>
      <c r="H30" s="41"/>
      <c r="K30"/>
      <c r="N30"/>
      <c r="Q30"/>
    </row>
    <row r="31" spans="1:17" ht="15">
      <c r="A31" s="39" t="s">
        <v>138</v>
      </c>
      <c r="B31" s="42" t="str">
        <f>IF(B32&gt;B30,"N/A",B30/B32)</f>
        <v>N/A</v>
      </c>
      <c r="C31" s="42"/>
      <c r="D31" s="42" t="str">
        <f>IF(D32&gt;D30,"N/A",D30/D32)</f>
        <v>N/A</v>
      </c>
      <c r="E31" s="42"/>
      <c r="F31" s="42" t="str">
        <f>IF(F32&gt;F30,"N/A",F30/F32)</f>
        <v>N/A</v>
      </c>
      <c r="G31" s="40"/>
      <c r="H31" s="41"/>
      <c r="K31"/>
      <c r="N31"/>
      <c r="Q31"/>
    </row>
    <row r="32" spans="1:17" ht="15.75" thickBot="1">
      <c r="A32" s="45" t="s">
        <v>120</v>
      </c>
      <c r="B32" s="46">
        <f>$K$8*(1-B12)/$K$12</f>
        <v>1.8984375</v>
      </c>
      <c r="C32" s="46"/>
      <c r="D32" s="46">
        <f>$K$8*(1-D12)/N12</f>
        <v>1.8984375</v>
      </c>
      <c r="E32" s="46"/>
      <c r="F32" s="46">
        <f>$K$8*(1-F12)/Q12</f>
        <v>1.8984375</v>
      </c>
      <c r="G32" s="47"/>
      <c r="H32" s="48"/>
      <c r="K32"/>
      <c r="N32"/>
      <c r="Q32"/>
    </row>
    <row r="33" spans="1:6" ht="15">
      <c r="A33" s="6"/>
      <c r="B33" s="13"/>
      <c r="D33" s="13"/>
      <c r="F33" s="13"/>
    </row>
    <row r="34" spans="1:6" ht="15">
      <c r="A34" s="6"/>
      <c r="B34" s="13"/>
      <c r="D34" s="13"/>
      <c r="F34" s="13"/>
    </row>
    <row r="35" spans="1:6" ht="15">
      <c r="A35" s="6"/>
      <c r="B35" s="13"/>
      <c r="D35" s="13"/>
      <c r="F35" s="13"/>
    </row>
    <row r="36" spans="1:6" ht="15.75" thickBot="1">
      <c r="A36" s="6"/>
      <c r="B36" s="13"/>
      <c r="D36" s="13"/>
      <c r="F36" s="13"/>
    </row>
    <row r="37" ht="15.75" thickBot="1">
      <c r="H37" s="24"/>
    </row>
    <row r="38" spans="1:9" ht="15.75" thickBot="1">
      <c r="A38" t="s">
        <v>110</v>
      </c>
      <c r="B38" s="14">
        <f>(B18+B27)*B9</f>
        <v>53456.11510791367</v>
      </c>
      <c r="D38" s="14">
        <f>(D18+D27)*D9</f>
        <v>28509.928057553956</v>
      </c>
      <c r="F38" s="14">
        <f>(F18+F27)*F9</f>
        <v>17818.705035971223</v>
      </c>
      <c r="H38" s="49">
        <f>SUM(B38:F38)</f>
        <v>99784.74820143884</v>
      </c>
      <c r="I38" t="str">
        <f>IF($B$6="Gallons","Gallons Expended","Pounds Expended")</f>
        <v>Pounds Expended</v>
      </c>
    </row>
    <row r="39" spans="1:8" ht="15">
      <c r="A39" s="6" t="s">
        <v>24</v>
      </c>
      <c r="B39" s="18">
        <f>AVERAGE(B19,B28)</f>
        <v>8.287769784172662</v>
      </c>
      <c r="C39" s="17"/>
      <c r="D39" s="18">
        <f>AVERAGE(D19,D28)</f>
        <v>8.287769784172662</v>
      </c>
      <c r="E39" s="17"/>
      <c r="F39" s="18">
        <f>AVERAGE(F19,F28)</f>
        <v>8.287769784172662</v>
      </c>
      <c r="H39" s="26"/>
    </row>
    <row r="40" spans="1:8" ht="15">
      <c r="A40" s="6" t="s">
        <v>25</v>
      </c>
      <c r="B40" s="18">
        <f>AVERAGE(B20,B29)</f>
        <v>1152</v>
      </c>
      <c r="C40" s="19"/>
      <c r="D40" s="18">
        <f>AVERAGE(D20,D29)</f>
        <v>1152</v>
      </c>
      <c r="E40" s="19"/>
      <c r="F40" s="18">
        <f>AVERAGE(F20,F29)</f>
        <v>1152</v>
      </c>
      <c r="H40" s="26"/>
    </row>
    <row r="41" ht="15.75" thickBot="1">
      <c r="H41" s="26"/>
    </row>
    <row r="42" spans="1:9" ht="15.75" thickBot="1">
      <c r="A42" t="s">
        <v>115</v>
      </c>
      <c r="B42" s="55">
        <f>IF($B$6="Gallons",B38*$B$5,$B$5/$K$13*B38)</f>
        <v>102952.5179856115</v>
      </c>
      <c r="C42" s="51"/>
      <c r="D42" s="55">
        <f>IF($B$6="Gallons",D38*$B$5,$B$5/$K$13*D38)</f>
        <v>54908.00959232613</v>
      </c>
      <c r="E42" s="51"/>
      <c r="F42" s="55">
        <f>IF($B$6="Gallons",F38*$B$5,$B$5/$K$13*F38)</f>
        <v>34317.505995203835</v>
      </c>
      <c r="H42" s="27">
        <f>SUM(B42:F42)</f>
        <v>192178.03357314147</v>
      </c>
      <c r="I42" t="s">
        <v>2</v>
      </c>
    </row>
    <row r="43" spans="1:8" ht="15">
      <c r="A43" s="6" t="s">
        <v>28</v>
      </c>
      <c r="B43" s="53">
        <f>B42/(B11*B9)</f>
        <v>31.923261390887287</v>
      </c>
      <c r="C43" s="54"/>
      <c r="D43" s="53">
        <f>IF(D38&gt;0,D42/(D11*D9),0)</f>
        <v>31.923261390887287</v>
      </c>
      <c r="E43" s="54"/>
      <c r="F43" s="53">
        <f>IF(D38&gt;0,D42/(D11*D9),0)</f>
        <v>31.923261390887287</v>
      </c>
      <c r="H43" s="26"/>
    </row>
    <row r="44" spans="1:8" ht="15">
      <c r="A44" s="6" t="s">
        <v>29</v>
      </c>
      <c r="B44" s="53">
        <f>IF($B$6="Gallons",B40*B5,B40*B5/$K$13)</f>
        <v>2218.6666666666665</v>
      </c>
      <c r="C44" s="54"/>
      <c r="D44" s="53">
        <f>IF($B$6="Gallons",D40*D5,D40*D5/$K$13)</f>
        <v>2218.6666666666665</v>
      </c>
      <c r="E44" s="54"/>
      <c r="F44" s="53">
        <f>IF($B$6="Gallons",F40*F5,F40*F5/$K$13)</f>
        <v>2218.6666666666665</v>
      </c>
      <c r="H44" s="26"/>
    </row>
    <row r="45" ht="15.75" thickBot="1">
      <c r="H45" s="26"/>
    </row>
    <row r="46" spans="1:9" ht="15.75" thickBot="1">
      <c r="A46" t="s">
        <v>119</v>
      </c>
      <c r="B46" s="14">
        <f>B21+B30</f>
        <v>3.093525179856115</v>
      </c>
      <c r="D46" s="14">
        <f>D21+D30</f>
        <v>3.093525179856115</v>
      </c>
      <c r="F46" s="14">
        <f>F21+F30</f>
        <v>3.093525179856115</v>
      </c>
      <c r="H46" s="25">
        <f>SUM(B46:F46)</f>
        <v>9.280575539568344</v>
      </c>
      <c r="I46" t="s">
        <v>3</v>
      </c>
    </row>
    <row r="47" spans="1:9" ht="15.75" thickBot="1">
      <c r="A47" t="s">
        <v>138</v>
      </c>
      <c r="B47" s="14">
        <f>IF(B22="N/A","N/A",B22*B9)</f>
        <v>7.5</v>
      </c>
      <c r="C47" s="15"/>
      <c r="D47" s="14">
        <f>IF(D22="N/A","N/A",D22*D9)</f>
        <v>4</v>
      </c>
      <c r="E47" s="15"/>
      <c r="F47" s="14">
        <f>IF(F22="N/A","N/A",F22*F9)</f>
        <v>2.5</v>
      </c>
      <c r="H47" s="25">
        <f>SUM(B47:F47)</f>
        <v>14</v>
      </c>
      <c r="I47" t="s">
        <v>176</v>
      </c>
    </row>
    <row r="48" spans="1:8" ht="15.75" thickBot="1">
      <c r="A48" t="s">
        <v>120</v>
      </c>
      <c r="B48" s="14">
        <f>K8*(1-F12)/K12</f>
        <v>1.8984375</v>
      </c>
      <c r="D48" s="14">
        <f>D32</f>
        <v>1.8984375</v>
      </c>
      <c r="F48" s="14">
        <f>F32</f>
        <v>1.8984375</v>
      </c>
      <c r="H48" s="25">
        <f>SUM(B48:F48)</f>
        <v>5.6953125</v>
      </c>
    </row>
    <row r="49" spans="1:9" ht="15.75" thickBot="1">
      <c r="A49" t="s">
        <v>27</v>
      </c>
      <c r="B49" s="11">
        <f>B9/5*44</f>
        <v>132</v>
      </c>
      <c r="D49" s="11">
        <v>0</v>
      </c>
      <c r="F49" s="11">
        <v>0</v>
      </c>
      <c r="H49" s="49">
        <f>SUM(B49:F49)</f>
        <v>132</v>
      </c>
      <c r="I49" t="s">
        <v>174</v>
      </c>
    </row>
    <row r="52" ht="15.75" thickBot="1"/>
    <row r="53" spans="8:14" ht="18.75">
      <c r="H53" s="127" t="s">
        <v>144</v>
      </c>
      <c r="I53" s="128"/>
      <c r="J53" s="129"/>
      <c r="N53"/>
    </row>
    <row r="54" spans="8:14" ht="15">
      <c r="H54" s="107">
        <f>VLOOKUP(H53,Technologies!$A$2:$F$10,2,FALSE)</f>
        <v>0.05068</v>
      </c>
      <c r="I54" s="108">
        <f>IF(OR(H53=Technologies!$A$6,H53=Technologies!$A$7,H53=Technologies!$A$8,H53=Technologies!$A$14),VLOOKUP(H53,Technologies!$A$2:$C$15,3,FALSE),$B$5)</f>
        <v>3</v>
      </c>
      <c r="J54" s="109"/>
      <c r="N54"/>
    </row>
    <row r="55" spans="8:14" ht="15">
      <c r="H55" s="110">
        <f>(1-H54)*H38</f>
        <v>94727.65716258991</v>
      </c>
      <c r="I55" s="122" t="str">
        <f>I38</f>
        <v>Pounds Expended</v>
      </c>
      <c r="J55" s="123"/>
      <c r="N55" t="s">
        <v>169</v>
      </c>
    </row>
    <row r="56" spans="8:15" ht="15">
      <c r="H56" s="111"/>
      <c r="I56" s="108"/>
      <c r="J56" s="109"/>
      <c r="N56" t="s">
        <v>171</v>
      </c>
      <c r="O56" t="s">
        <v>172</v>
      </c>
    </row>
    <row r="57" spans="8:15" ht="15.75" thickBot="1">
      <c r="H57" s="113">
        <f>I54/$K$13*H55</f>
        <v>42101.18096115107</v>
      </c>
      <c r="I57" s="124" t="str">
        <f>I42</f>
        <v>$ Expended</v>
      </c>
      <c r="J57" s="125"/>
      <c r="M57" t="s">
        <v>80</v>
      </c>
      <c r="N57" s="114">
        <f>H38</f>
        <v>99784.74820143884</v>
      </c>
      <c r="O57" s="51">
        <f>H42</f>
        <v>192178.03357314147</v>
      </c>
    </row>
    <row r="58" spans="13:15" ht="15.75" thickBot="1">
      <c r="M58" t="str">
        <f>H53</f>
        <v>Algal Biofuel + Composite</v>
      </c>
      <c r="N58" s="114">
        <f>H55</f>
        <v>94727.65716258991</v>
      </c>
      <c r="O58" s="51">
        <f>H57</f>
        <v>42101.18096115107</v>
      </c>
    </row>
    <row r="59" spans="8:15" ht="15">
      <c r="H59" s="119" t="str">
        <f>IF(H53=Technologies!$A$3,"Driveshaft Removal Not Applicable","Also Remove Driveshaft")</f>
        <v>Also Remove Driveshaft</v>
      </c>
      <c r="I59" s="120"/>
      <c r="J59" s="121"/>
      <c r="M59" t="s">
        <v>170</v>
      </c>
      <c r="N59" s="114">
        <f>H61</f>
        <v>94478.19529208633</v>
      </c>
      <c r="O59" s="52">
        <f>H63</f>
        <v>41990.30901870503</v>
      </c>
    </row>
    <row r="60" spans="8:14" ht="15">
      <c r="H60" s="107">
        <f>H54+Technologies!$E$18</f>
        <v>0.053180000000000005</v>
      </c>
      <c r="I60" s="108">
        <f>I54</f>
        <v>3</v>
      </c>
      <c r="J60" s="109"/>
      <c r="N60"/>
    </row>
    <row r="61" spans="8:14" ht="15">
      <c r="H61" s="110">
        <f>(1-H60)*H38</f>
        <v>94478.19529208633</v>
      </c>
      <c r="I61" s="122" t="str">
        <f>I38</f>
        <v>Pounds Expended</v>
      </c>
      <c r="J61" s="123"/>
      <c r="N61"/>
    </row>
    <row r="62" spans="8:14" ht="15">
      <c r="H62" s="111"/>
      <c r="I62" s="108"/>
      <c r="J62" s="109"/>
      <c r="N62"/>
    </row>
    <row r="63" spans="8:14" ht="15.75" thickBot="1">
      <c r="H63" s="113">
        <f>I60/$K$13*H61</f>
        <v>41990.30901870503</v>
      </c>
      <c r="I63" s="124" t="str">
        <f>I42</f>
        <v>$ Expended</v>
      </c>
      <c r="J63" s="125"/>
      <c r="N63"/>
    </row>
  </sheetData>
  <sheetProtection/>
  <mergeCells count="7">
    <mergeCell ref="I63:J63"/>
    <mergeCell ref="A1:Q1"/>
    <mergeCell ref="H53:J53"/>
    <mergeCell ref="I55:J55"/>
    <mergeCell ref="I57:J57"/>
    <mergeCell ref="H59:J59"/>
    <mergeCell ref="I61:J61"/>
  </mergeCells>
  <dataValidations count="5">
    <dataValidation type="list" allowBlank="1" showInputMessage="1" showErrorMessage="1" sqref="B25 B16 B10 D16 D10 F16 F10 F25 D25">
      <formula1>Lift</formula1>
    </dataValidation>
    <dataValidation type="list" allowBlank="1" showInputMessage="1" showErrorMessage="1" sqref="D8 B8 F8">
      <formula1>Location</formula1>
    </dataValidation>
    <dataValidation type="list" allowBlank="1" showInputMessage="1" showErrorMessage="1" sqref="D6:D7 B6:B7 F6:F7">
      <formula1>Unit</formula1>
    </dataValidation>
    <dataValidation type="list" allowBlank="1" showInputMessage="1" showErrorMessage="1" sqref="D3 B3 F3">
      <formula1>Aircraft_Type</formula1>
    </dataValidation>
    <dataValidation type="list" allowBlank="1" showInputMessage="1" showErrorMessage="1" sqref="H53">
      <formula1>Technologies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2">
      <selection activeCell="A12" sqref="A12"/>
    </sheetView>
  </sheetViews>
  <sheetFormatPr defaultColWidth="12.57421875" defaultRowHeight="15"/>
  <cols>
    <col min="1" max="1" width="57.57421875" style="71" customWidth="1"/>
    <col min="2" max="2" width="15.28125" style="85" customWidth="1"/>
    <col min="3" max="6" width="12.57421875" style="85" customWidth="1"/>
    <col min="7" max="16384" width="12.57421875" style="71" customWidth="1"/>
  </cols>
  <sheetData>
    <row r="1" spans="1:6" ht="15.75">
      <c r="A1" s="65" t="s">
        <v>31</v>
      </c>
      <c r="B1" s="75"/>
      <c r="C1" s="75"/>
      <c r="D1" s="118" t="s">
        <v>164</v>
      </c>
      <c r="E1" s="118"/>
      <c r="F1" s="82"/>
    </row>
    <row r="2" spans="1:6" ht="45">
      <c r="A2" s="65"/>
      <c r="B2" s="75" t="s">
        <v>46</v>
      </c>
      <c r="C2" s="75" t="s">
        <v>47</v>
      </c>
      <c r="D2" s="75" t="s">
        <v>160</v>
      </c>
      <c r="E2" s="75" t="s">
        <v>161</v>
      </c>
      <c r="F2" s="83" t="s">
        <v>163</v>
      </c>
    </row>
    <row r="3" spans="1:6" ht="15.75">
      <c r="A3" s="65" t="s">
        <v>48</v>
      </c>
      <c r="B3" s="76">
        <v>0.5</v>
      </c>
      <c r="C3" s="75"/>
      <c r="D3" s="76">
        <v>0.5</v>
      </c>
      <c r="E3" s="76">
        <v>0.3</v>
      </c>
      <c r="F3" s="82">
        <v>2020</v>
      </c>
    </row>
    <row r="4" spans="1:6" ht="15.75">
      <c r="A4" s="65" t="s">
        <v>49</v>
      </c>
      <c r="B4" s="76">
        <v>0.07</v>
      </c>
      <c r="C4" s="75"/>
      <c r="D4" s="75" t="s">
        <v>162</v>
      </c>
      <c r="E4" s="75" t="s">
        <v>162</v>
      </c>
      <c r="F4" s="83">
        <v>2011</v>
      </c>
    </row>
    <row r="5" spans="1:6" ht="15.75">
      <c r="A5" s="65" t="s">
        <v>50</v>
      </c>
      <c r="B5" s="77">
        <v>0.00068</v>
      </c>
      <c r="C5" s="75"/>
      <c r="D5" s="75" t="s">
        <v>162</v>
      </c>
      <c r="E5" s="75" t="s">
        <v>162</v>
      </c>
      <c r="F5" s="83">
        <v>2011</v>
      </c>
    </row>
    <row r="6" spans="1:6" ht="15.75">
      <c r="A6" s="65" t="s">
        <v>51</v>
      </c>
      <c r="B6" s="76">
        <v>0.05</v>
      </c>
      <c r="C6" s="75">
        <v>3</v>
      </c>
      <c r="D6" s="76">
        <v>0.1</v>
      </c>
      <c r="E6" s="76">
        <v>0.05</v>
      </c>
      <c r="F6" s="82">
        <v>2015</v>
      </c>
    </row>
    <row r="7" spans="1:6" ht="15.75">
      <c r="A7" s="65" t="s">
        <v>144</v>
      </c>
      <c r="B7" s="77">
        <f>SUM(B5+B6)</f>
        <v>0.05068</v>
      </c>
      <c r="C7" s="75">
        <v>3</v>
      </c>
      <c r="D7" s="77">
        <v>0.1007</v>
      </c>
      <c r="E7" s="77">
        <v>0.0507</v>
      </c>
      <c r="F7" s="82">
        <v>2015</v>
      </c>
    </row>
    <row r="8" spans="1:6" ht="15.75">
      <c r="A8" s="65" t="s">
        <v>145</v>
      </c>
      <c r="B8" s="76">
        <f>SUM(B4+B6)</f>
        <v>0.12000000000000001</v>
      </c>
      <c r="C8" s="75">
        <v>3</v>
      </c>
      <c r="D8" s="76">
        <v>0.17</v>
      </c>
      <c r="E8" s="76">
        <v>0.12</v>
      </c>
      <c r="F8" s="82">
        <v>2015</v>
      </c>
    </row>
    <row r="9" spans="1:6" ht="15.75">
      <c r="A9" s="65" t="s">
        <v>146</v>
      </c>
      <c r="B9" s="78">
        <f>SUM(B3+B5)</f>
        <v>0.50068</v>
      </c>
      <c r="C9" s="75"/>
      <c r="D9" s="77">
        <v>0.5007</v>
      </c>
      <c r="E9" s="77">
        <v>0.3007</v>
      </c>
      <c r="F9" s="82">
        <v>2020</v>
      </c>
    </row>
    <row r="10" spans="1:6" ht="15.75">
      <c r="A10" s="65"/>
      <c r="B10" s="78"/>
      <c r="C10" s="75"/>
      <c r="D10" s="77"/>
      <c r="E10" s="77"/>
      <c r="F10" s="82"/>
    </row>
    <row r="11" spans="1:6" ht="15.75">
      <c r="A11" s="65"/>
      <c r="B11" s="78"/>
      <c r="C11" s="75"/>
      <c r="D11" s="77"/>
      <c r="E11" s="77"/>
      <c r="F11" s="82"/>
    </row>
    <row r="12" spans="1:6" ht="15.75">
      <c r="A12" s="65"/>
      <c r="B12" s="78"/>
      <c r="C12" s="75"/>
      <c r="D12" s="77"/>
      <c r="E12" s="77"/>
      <c r="F12" s="82"/>
    </row>
    <row r="13" spans="1:6" ht="15.75">
      <c r="A13" s="65"/>
      <c r="B13" s="78"/>
      <c r="C13" s="75"/>
      <c r="D13" s="77"/>
      <c r="E13" s="77"/>
      <c r="F13" s="82"/>
    </row>
    <row r="14" spans="1:6" ht="15.75">
      <c r="A14" s="65"/>
      <c r="B14" s="75"/>
      <c r="C14" s="75"/>
      <c r="D14" s="75"/>
      <c r="E14" s="75"/>
      <c r="F14" s="82"/>
    </row>
    <row r="15" spans="1:6" ht="15.75">
      <c r="A15" s="65"/>
      <c r="B15" s="75"/>
      <c r="C15" s="75"/>
      <c r="D15" s="75"/>
      <c r="E15" s="75"/>
      <c r="F15" s="82"/>
    </row>
    <row r="16" spans="1:8" ht="30">
      <c r="A16" s="79" t="s">
        <v>139</v>
      </c>
      <c r="B16" s="80" t="s">
        <v>147</v>
      </c>
      <c r="C16" s="80" t="s">
        <v>148</v>
      </c>
      <c r="D16" s="80" t="s">
        <v>149</v>
      </c>
      <c r="E16" s="80" t="s">
        <v>150</v>
      </c>
      <c r="F16" s="86"/>
      <c r="G16" s="87"/>
      <c r="H16" s="88"/>
    </row>
    <row r="17" spans="1:7" ht="15.75">
      <c r="A17" t="s">
        <v>151</v>
      </c>
      <c r="B17" s="84">
        <f>1-B18</f>
        <v>0.995</v>
      </c>
      <c r="C17" s="84">
        <f>1-C18</f>
        <v>0.9924</v>
      </c>
      <c r="D17" s="84">
        <f>1-D18</f>
        <v>0.9975</v>
      </c>
      <c r="E17" s="84">
        <f>1-E18</f>
        <v>0.9975</v>
      </c>
      <c r="F17" s="83" t="s">
        <v>167</v>
      </c>
      <c r="G17" s="87"/>
    </row>
    <row r="18" spans="1:7" ht="15.75">
      <c r="A18" t="s">
        <v>152</v>
      </c>
      <c r="B18" s="84">
        <v>0.005</v>
      </c>
      <c r="C18" s="84">
        <v>0.0076</v>
      </c>
      <c r="D18" s="84">
        <v>0.0025</v>
      </c>
      <c r="E18" s="84">
        <v>0.0025</v>
      </c>
      <c r="F18" s="83" t="s">
        <v>166</v>
      </c>
      <c r="G18" s="88"/>
    </row>
    <row r="19" spans="1:7" ht="15.75">
      <c r="A19" t="s">
        <v>153</v>
      </c>
      <c r="B19" s="84"/>
      <c r="C19" s="84"/>
      <c r="D19" s="84"/>
      <c r="E19" s="84"/>
      <c r="G19" s="87"/>
    </row>
    <row r="20" spans="1:7" ht="15.75">
      <c r="A20" s="65" t="s">
        <v>154</v>
      </c>
      <c r="B20" s="77"/>
      <c r="C20" s="77"/>
      <c r="D20" s="77"/>
      <c r="E20" s="77"/>
      <c r="G20" s="87"/>
    </row>
    <row r="21" spans="1:7" ht="15.75">
      <c r="A21" s="65" t="s">
        <v>155</v>
      </c>
      <c r="B21" s="77"/>
      <c r="C21" s="77"/>
      <c r="D21" s="77"/>
      <c r="E21" s="77"/>
      <c r="G21" s="88"/>
    </row>
    <row r="22" ht="15.75">
      <c r="G22" s="87"/>
    </row>
    <row r="23" ht="15.75">
      <c r="G23" s="88"/>
    </row>
    <row r="24" ht="15.75">
      <c r="G24" s="87"/>
    </row>
    <row r="25" ht="15.75">
      <c r="G25" s="88"/>
    </row>
    <row r="26" ht="15.75">
      <c r="G26" s="87"/>
    </row>
    <row r="27" ht="15.75">
      <c r="G27" s="88"/>
    </row>
    <row r="28" ht="15.75">
      <c r="G28" s="87"/>
    </row>
    <row r="29" ht="15.75">
      <c r="G29" s="88"/>
    </row>
  </sheetData>
  <sheetProtection/>
  <mergeCells count="1">
    <mergeCell ref="D1:E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R40"/>
  <sheetViews>
    <sheetView zoomScale="70" zoomScaleNormal="70" zoomScalePageLayoutView="70" workbookViewId="0" topLeftCell="A1">
      <selection activeCell="J11" sqref="J11"/>
    </sheetView>
  </sheetViews>
  <sheetFormatPr defaultColWidth="8.8515625" defaultRowHeight="15"/>
  <cols>
    <col min="1" max="1" width="8.8515625" style="0" customWidth="1"/>
    <col min="2" max="2" width="26.8515625" style="0" customWidth="1"/>
    <col min="3" max="3" width="11.00390625" style="1" customWidth="1"/>
    <col min="4" max="4" width="6.140625" style="1" customWidth="1"/>
    <col min="5" max="6" width="11.00390625" style="1" customWidth="1"/>
    <col min="7" max="7" width="7.140625" style="1" customWidth="1"/>
    <col min="8" max="12" width="11.00390625" style="1" customWidth="1"/>
    <col min="13" max="13" width="7.28125" style="1" customWidth="1"/>
    <col min="14" max="14" width="11.00390625" style="1" customWidth="1"/>
    <col min="15" max="15" width="8.7109375" style="1" customWidth="1"/>
    <col min="16" max="18" width="11.00390625" style="1" customWidth="1"/>
    <col min="19" max="20" width="10.140625" style="0" customWidth="1"/>
  </cols>
  <sheetData>
    <row r="1" spans="3:16" ht="15">
      <c r="C1" s="1" t="s">
        <v>43</v>
      </c>
      <c r="E1" s="1" t="s">
        <v>42</v>
      </c>
      <c r="H1" s="1" t="s">
        <v>41</v>
      </c>
      <c r="N1" s="1" t="s">
        <v>92</v>
      </c>
      <c r="P1" s="1" t="s">
        <v>143</v>
      </c>
    </row>
    <row r="2" spans="3:16" ht="15">
      <c r="C2" s="59" t="s">
        <v>82</v>
      </c>
      <c r="E2" s="59" t="s">
        <v>83</v>
      </c>
      <c r="F2" s="59" t="s">
        <v>84</v>
      </c>
      <c r="H2" s="59" t="s">
        <v>101</v>
      </c>
      <c r="I2" s="59" t="s">
        <v>85</v>
      </c>
      <c r="J2" s="59" t="s">
        <v>102</v>
      </c>
      <c r="K2" s="59" t="s">
        <v>86</v>
      </c>
      <c r="L2" s="59" t="s">
        <v>157</v>
      </c>
      <c r="N2" s="59" t="s">
        <v>45</v>
      </c>
      <c r="P2" s="72" t="s">
        <v>141</v>
      </c>
    </row>
    <row r="3" spans="2:16" ht="15">
      <c r="B3" t="s">
        <v>87</v>
      </c>
      <c r="C3" s="59" t="s">
        <v>88</v>
      </c>
      <c r="E3" s="59" t="s">
        <v>89</v>
      </c>
      <c r="F3" s="59" t="s">
        <v>89</v>
      </c>
      <c r="H3" s="59" t="s">
        <v>90</v>
      </c>
      <c r="I3" s="59" t="s">
        <v>90</v>
      </c>
      <c r="J3" s="59" t="s">
        <v>90</v>
      </c>
      <c r="K3" s="59" t="s">
        <v>91</v>
      </c>
      <c r="L3" s="59" t="s">
        <v>44</v>
      </c>
      <c r="N3" s="59" t="s">
        <v>93</v>
      </c>
      <c r="P3" s="72" t="s">
        <v>142</v>
      </c>
    </row>
    <row r="4" spans="2:16" ht="15">
      <c r="B4" t="s">
        <v>94</v>
      </c>
      <c r="C4" s="62">
        <v>22420</v>
      </c>
      <c r="D4" s="57"/>
      <c r="E4" s="62">
        <v>33226</v>
      </c>
      <c r="F4" s="62"/>
      <c r="G4" s="57"/>
      <c r="H4" s="59">
        <v>11284</v>
      </c>
      <c r="I4" s="59">
        <v>11516</v>
      </c>
      <c r="J4" s="59"/>
      <c r="K4" s="59"/>
      <c r="L4" s="59"/>
      <c r="N4" s="59">
        <v>16000</v>
      </c>
      <c r="P4" s="72"/>
    </row>
    <row r="5" spans="2:16" ht="15">
      <c r="B5" t="s">
        <v>95</v>
      </c>
      <c r="C5" s="62"/>
      <c r="D5" s="57"/>
      <c r="E5" s="62">
        <f>73500-E4</f>
        <v>40274</v>
      </c>
      <c r="F5" s="62"/>
      <c r="G5" s="57"/>
      <c r="H5" s="59">
        <v>22000</v>
      </c>
      <c r="I5" s="59"/>
      <c r="J5" s="59"/>
      <c r="K5" s="59"/>
      <c r="L5" s="59"/>
      <c r="N5" s="59"/>
      <c r="P5" s="72"/>
    </row>
    <row r="6" spans="2:16" ht="15">
      <c r="B6" t="s">
        <v>103</v>
      </c>
      <c r="C6" s="62"/>
      <c r="D6" s="57"/>
      <c r="E6" s="62">
        <v>37</v>
      </c>
      <c r="F6" s="62"/>
      <c r="G6" s="57"/>
      <c r="H6" s="59">
        <v>11</v>
      </c>
      <c r="I6" s="59">
        <f>H6</f>
        <v>11</v>
      </c>
      <c r="J6" s="59">
        <v>11</v>
      </c>
      <c r="K6" s="59" t="s">
        <v>39</v>
      </c>
      <c r="L6" s="59"/>
      <c r="N6" s="59" t="s">
        <v>39</v>
      </c>
      <c r="P6" s="72"/>
    </row>
    <row r="7" spans="2:16" ht="15">
      <c r="B7" t="s">
        <v>100</v>
      </c>
      <c r="C7" s="62">
        <f>590*C12</f>
        <v>3982.5</v>
      </c>
      <c r="D7" s="57"/>
      <c r="E7" s="62">
        <f>2277*E12</f>
        <v>15369.75</v>
      </c>
      <c r="F7" s="62"/>
      <c r="G7" s="57"/>
      <c r="H7" s="59">
        <f>360*H12</f>
        <v>2430</v>
      </c>
      <c r="I7" s="59">
        <f>360*I12</f>
        <v>2430</v>
      </c>
      <c r="J7" s="59">
        <f>360*I12</f>
        <v>2430</v>
      </c>
      <c r="K7" s="59">
        <f>360*I12</f>
        <v>2430</v>
      </c>
      <c r="L7" s="59">
        <f>(360+230+230)*I12</f>
        <v>5535</v>
      </c>
      <c r="N7" s="59">
        <f>(360+230+230)*I12</f>
        <v>5535</v>
      </c>
      <c r="P7" s="72"/>
    </row>
    <row r="8" spans="2:18" s="3" customFormat="1" ht="15">
      <c r="B8" s="3" t="s">
        <v>106</v>
      </c>
      <c r="C8" s="63">
        <f>C7/C11</f>
        <v>3.3354271356783918</v>
      </c>
      <c r="D8" s="58"/>
      <c r="E8" s="63">
        <v>5.54</v>
      </c>
      <c r="F8" s="63"/>
      <c r="G8" s="58"/>
      <c r="H8" s="60">
        <v>2.5</v>
      </c>
      <c r="I8" s="60">
        <v>2.5</v>
      </c>
      <c r="J8" s="60">
        <v>2.5</v>
      </c>
      <c r="K8" s="60">
        <v>2.5</v>
      </c>
      <c r="L8" s="60">
        <f>L7/L11</f>
        <v>5.120259019426457</v>
      </c>
      <c r="M8" s="2"/>
      <c r="N8" s="60">
        <v>2.5</v>
      </c>
      <c r="O8" s="2"/>
      <c r="P8" s="73"/>
      <c r="Q8" s="2"/>
      <c r="R8" s="2"/>
    </row>
    <row r="9" spans="2:18" s="3" customFormat="1" ht="15">
      <c r="B9" s="3" t="s">
        <v>107</v>
      </c>
      <c r="C9" s="64"/>
      <c r="D9" s="4"/>
      <c r="E9" s="64">
        <v>580</v>
      </c>
      <c r="F9" s="64"/>
      <c r="G9" s="4"/>
      <c r="H9" s="61">
        <v>319</v>
      </c>
      <c r="I9" s="61">
        <f>H9</f>
        <v>319</v>
      </c>
      <c r="J9" s="61">
        <v>319</v>
      </c>
      <c r="K9" s="61">
        <v>319</v>
      </c>
      <c r="L9" s="61">
        <v>1200</v>
      </c>
      <c r="M9" s="5"/>
      <c r="N9" s="61">
        <v>1200</v>
      </c>
      <c r="O9" s="5"/>
      <c r="P9" s="74"/>
      <c r="Q9" s="5"/>
      <c r="R9" s="5"/>
    </row>
    <row r="10" spans="2:16" ht="15">
      <c r="B10" t="s">
        <v>96</v>
      </c>
      <c r="C10" s="62" t="s">
        <v>99</v>
      </c>
      <c r="D10" s="57"/>
      <c r="E10" s="62">
        <v>144</v>
      </c>
      <c r="F10" s="62">
        <v>170</v>
      </c>
      <c r="G10" s="57"/>
      <c r="H10" s="59">
        <v>139</v>
      </c>
      <c r="I10" s="59">
        <f>H10</f>
        <v>139</v>
      </c>
      <c r="J10" s="59">
        <v>139</v>
      </c>
      <c r="K10" s="59">
        <v>139</v>
      </c>
      <c r="L10" s="59">
        <v>139</v>
      </c>
      <c r="N10" s="59">
        <v>139</v>
      </c>
      <c r="P10" s="72"/>
    </row>
    <row r="11" spans="2:16" ht="15">
      <c r="B11" t="s">
        <v>97</v>
      </c>
      <c r="C11" s="62">
        <v>1194</v>
      </c>
      <c r="D11" s="57"/>
      <c r="E11" s="62">
        <v>4008</v>
      </c>
      <c r="F11" s="62">
        <v>4780</v>
      </c>
      <c r="G11" s="57"/>
      <c r="H11" s="59">
        <v>1081</v>
      </c>
      <c r="I11" s="59">
        <v>1081</v>
      </c>
      <c r="J11" s="59">
        <v>1152</v>
      </c>
      <c r="K11" s="59">
        <v>1081</v>
      </c>
      <c r="L11" s="59">
        <v>1081</v>
      </c>
      <c r="N11" s="59">
        <f>L11</f>
        <v>1081</v>
      </c>
      <c r="P11" s="72">
        <f>18.65*P12</f>
        <v>125.88749999999999</v>
      </c>
    </row>
    <row r="12" spans="2:16" ht="15">
      <c r="B12" t="s">
        <v>98</v>
      </c>
      <c r="C12" s="62">
        <v>6.75</v>
      </c>
      <c r="D12" s="57"/>
      <c r="E12" s="62">
        <v>6.75</v>
      </c>
      <c r="F12" s="62">
        <v>6.75</v>
      </c>
      <c r="G12" s="57"/>
      <c r="H12" s="59">
        <v>6.75</v>
      </c>
      <c r="I12" s="59">
        <v>6.75</v>
      </c>
      <c r="J12" s="59">
        <v>6.75</v>
      </c>
      <c r="K12" s="59">
        <v>6.75</v>
      </c>
      <c r="L12" s="59">
        <v>6.75</v>
      </c>
      <c r="N12" s="59">
        <v>6.75</v>
      </c>
      <c r="P12" s="72">
        <v>6.75</v>
      </c>
    </row>
    <row r="13" spans="2:16" ht="15">
      <c r="B13" t="s">
        <v>104</v>
      </c>
      <c r="C13" s="59" t="s">
        <v>105</v>
      </c>
      <c r="E13" s="59" t="s">
        <v>105</v>
      </c>
      <c r="F13" s="59" t="s">
        <v>105</v>
      </c>
      <c r="H13" s="59" t="s">
        <v>105</v>
      </c>
      <c r="I13" s="59" t="s">
        <v>105</v>
      </c>
      <c r="J13" s="59" t="s">
        <v>105</v>
      </c>
      <c r="K13" s="59" t="s">
        <v>105</v>
      </c>
      <c r="L13" s="59" t="s">
        <v>105</v>
      </c>
      <c r="N13" s="59" t="s">
        <v>105</v>
      </c>
      <c r="P13" s="72"/>
    </row>
    <row r="20" spans="2:3" ht="15">
      <c r="B20" t="s">
        <v>111</v>
      </c>
      <c r="C20" s="1" t="s">
        <v>121</v>
      </c>
    </row>
    <row r="21" ht="15">
      <c r="C21" s="1" t="s">
        <v>122</v>
      </c>
    </row>
    <row r="24" spans="2:3" ht="15">
      <c r="B24" t="s">
        <v>125</v>
      </c>
      <c r="C24" s="1" t="s">
        <v>126</v>
      </c>
    </row>
    <row r="25" ht="15">
      <c r="C25" s="1" t="s">
        <v>127</v>
      </c>
    </row>
    <row r="26" ht="15">
      <c r="C26" s="1" t="s">
        <v>128</v>
      </c>
    </row>
    <row r="27" ht="15">
      <c r="C27" s="1" t="s">
        <v>129</v>
      </c>
    </row>
    <row r="28" ht="15">
      <c r="C28" s="1" t="s">
        <v>130</v>
      </c>
    </row>
    <row r="29" ht="15">
      <c r="C29" s="1" t="s">
        <v>131</v>
      </c>
    </row>
    <row r="30" ht="15">
      <c r="C30" s="1" t="s">
        <v>132</v>
      </c>
    </row>
    <row r="31" ht="15">
      <c r="C31" s="1" t="s">
        <v>133</v>
      </c>
    </row>
    <row r="34" spans="2:3" ht="15">
      <c r="B34" t="s">
        <v>5</v>
      </c>
      <c r="C34" s="1" t="s">
        <v>6</v>
      </c>
    </row>
    <row r="35" ht="15">
      <c r="C35" s="1" t="s">
        <v>7</v>
      </c>
    </row>
    <row r="36" ht="15">
      <c r="C36" s="1" t="s">
        <v>33</v>
      </c>
    </row>
    <row r="37" ht="15">
      <c r="C37" s="1" t="s">
        <v>10</v>
      </c>
    </row>
    <row r="38" ht="15">
      <c r="C38" s="1" t="s">
        <v>34</v>
      </c>
    </row>
    <row r="39" ht="15">
      <c r="C39" s="1" t="s">
        <v>91</v>
      </c>
    </row>
    <row r="40" spans="3:18" ht="15">
      <c r="C40" s="1" t="s">
        <v>35</v>
      </c>
      <c r="O40"/>
      <c r="P40"/>
      <c r="Q40"/>
      <c r="R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70" zoomScaleNormal="70" zoomScalePageLayoutView="70" workbookViewId="0" topLeftCell="A1">
      <selection activeCell="J15" sqref="J15"/>
    </sheetView>
  </sheetViews>
  <sheetFormatPr defaultColWidth="8.8515625" defaultRowHeight="15"/>
  <cols>
    <col min="1" max="1" width="29.28125" style="0" customWidth="1"/>
    <col min="2" max="2" width="12.421875" style="11" customWidth="1"/>
    <col min="3" max="3" width="5.421875" style="0" customWidth="1"/>
    <col min="4" max="6" width="15.28125" style="11" customWidth="1"/>
    <col min="7" max="7" width="5.421875" style="0" customWidth="1"/>
    <col min="8" max="8" width="12.421875" style="11" customWidth="1"/>
    <col min="9" max="9" width="3.7109375" style="0" customWidth="1"/>
    <col min="10" max="10" width="10.421875" style="23" customWidth="1"/>
    <col min="11" max="11" width="10.421875" style="0" customWidth="1"/>
    <col min="12" max="12" width="25.140625" style="0" customWidth="1"/>
    <col min="13" max="13" width="10.421875" style="1" customWidth="1"/>
    <col min="14" max="15" width="8.8515625" style="0" customWidth="1"/>
    <col min="16" max="16" width="9.57421875" style="0" bestFit="1" customWidth="1"/>
    <col min="17" max="17" width="8.8515625" style="0" customWidth="1"/>
    <col min="18" max="18" width="10.140625" style="0" bestFit="1" customWidth="1"/>
  </cols>
  <sheetData>
    <row r="1" spans="1:13" ht="18.75">
      <c r="A1" s="126" t="s">
        <v>136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ht="15.75" thickBot="1"/>
    <row r="3" spans="1:13" ht="15.75" thickBot="1">
      <c r="A3" t="s">
        <v>108</v>
      </c>
      <c r="B3" s="100" t="s">
        <v>82</v>
      </c>
      <c r="D3" s="100" t="s">
        <v>82</v>
      </c>
      <c r="E3" s="100" t="s">
        <v>82</v>
      </c>
      <c r="F3" s="100" t="s">
        <v>82</v>
      </c>
      <c r="H3" s="100" t="s">
        <v>82</v>
      </c>
      <c r="L3" t="s">
        <v>109</v>
      </c>
      <c r="M3" s="1" t="str">
        <f>B3</f>
        <v>MH-60R</v>
      </c>
    </row>
    <row r="4" spans="12:13" ht="15.75" thickBot="1">
      <c r="L4" s="7" t="s">
        <v>87</v>
      </c>
      <c r="M4" s="8" t="str">
        <f>HLOOKUP(B3,Reference!B2:L13,2,FALSE)</f>
        <v>ASW</v>
      </c>
    </row>
    <row r="5" spans="1:13" ht="15.75" thickBot="1">
      <c r="A5" t="s">
        <v>137</v>
      </c>
      <c r="B5" s="101">
        <v>13</v>
      </c>
      <c r="D5" s="22">
        <v>13</v>
      </c>
      <c r="E5" s="22">
        <v>13</v>
      </c>
      <c r="F5" s="22">
        <v>13</v>
      </c>
      <c r="H5" s="22">
        <v>13</v>
      </c>
      <c r="L5" s="7" t="s">
        <v>94</v>
      </c>
      <c r="M5" s="8">
        <f>HLOOKUP(B3,Reference!B2:L13,3,FALSE)</f>
        <v>22420</v>
      </c>
    </row>
    <row r="6" spans="1:13" ht="15.75" thickBot="1">
      <c r="A6" t="s">
        <v>111</v>
      </c>
      <c r="B6" s="12" t="s">
        <v>122</v>
      </c>
      <c r="D6" s="21" t="str">
        <f>B6</f>
        <v>Pounds</v>
      </c>
      <c r="E6" s="21"/>
      <c r="F6" s="21"/>
      <c r="H6" s="21"/>
      <c r="L6" s="7" t="s">
        <v>95</v>
      </c>
      <c r="M6" s="8">
        <f>HLOOKUP(B3,Reference!B2:L13,4,FALSE)</f>
        <v>0</v>
      </c>
    </row>
    <row r="7" spans="2:13" ht="15.75" thickBot="1">
      <c r="B7" s="13"/>
      <c r="D7" s="13"/>
      <c r="E7" s="13"/>
      <c r="F7" s="13"/>
      <c r="H7" s="13"/>
      <c r="L7" s="7" t="s">
        <v>103</v>
      </c>
      <c r="M7" s="8">
        <f>HLOOKUP(B3,Reference!B2:L13,5,FALSE)</f>
        <v>0</v>
      </c>
    </row>
    <row r="8" spans="1:13" ht="15.75" thickBot="1">
      <c r="A8" t="s">
        <v>124</v>
      </c>
      <c r="B8" s="100" t="s">
        <v>126</v>
      </c>
      <c r="D8" s="100" t="s">
        <v>127</v>
      </c>
      <c r="E8" s="103" t="s">
        <v>127</v>
      </c>
      <c r="F8" s="103" t="s">
        <v>127</v>
      </c>
      <c r="H8" s="103" t="s">
        <v>128</v>
      </c>
      <c r="L8" s="7" t="s">
        <v>100</v>
      </c>
      <c r="M8" s="8">
        <f>HLOOKUP(B3,Reference!B2:L13,6,FALSE)</f>
        <v>3982.5</v>
      </c>
    </row>
    <row r="9" spans="1:13" ht="15.75" thickBot="1">
      <c r="A9" t="s">
        <v>123</v>
      </c>
      <c r="B9" s="100">
        <v>5</v>
      </c>
      <c r="D9" s="100">
        <v>2</v>
      </c>
      <c r="E9" s="100">
        <v>2</v>
      </c>
      <c r="F9" s="100">
        <v>2</v>
      </c>
      <c r="H9" s="100">
        <v>1</v>
      </c>
      <c r="L9" s="9" t="s">
        <v>106</v>
      </c>
      <c r="M9" s="10">
        <f>HLOOKUP(B3,Reference!B2:L13,7,FALSE)</f>
        <v>3.3354271356783918</v>
      </c>
    </row>
    <row r="10" spans="1:13" ht="15.75" thickBot="1">
      <c r="A10" t="s">
        <v>120</v>
      </c>
      <c r="B10" s="100">
        <v>6</v>
      </c>
      <c r="D10" s="100">
        <v>6</v>
      </c>
      <c r="E10" s="104">
        <v>6</v>
      </c>
      <c r="F10" s="104">
        <v>6</v>
      </c>
      <c r="H10" s="104">
        <v>6</v>
      </c>
      <c r="L10" s="9" t="s">
        <v>107</v>
      </c>
      <c r="M10" s="8">
        <f>HLOOKUP(B3,Reference!B2:L13,8,FALSE)</f>
        <v>0</v>
      </c>
    </row>
    <row r="11" spans="1:13" ht="15.75" thickBot="1">
      <c r="A11" t="s">
        <v>134</v>
      </c>
      <c r="B11" s="100">
        <f>B9*B10</f>
        <v>30</v>
      </c>
      <c r="D11" s="100">
        <v>9</v>
      </c>
      <c r="E11" s="104">
        <v>9</v>
      </c>
      <c r="F11" s="104">
        <v>9</v>
      </c>
      <c r="H11" s="104">
        <v>6</v>
      </c>
      <c r="L11" s="7" t="s">
        <v>96</v>
      </c>
      <c r="M11" s="8" t="str">
        <f>HLOOKUP(B3,Reference!B2:L13,9,FALSE)</f>
        <v>Hover Mix</v>
      </c>
    </row>
    <row r="12" spans="1:13" ht="15.75" thickBot="1">
      <c r="A12" t="s">
        <v>135</v>
      </c>
      <c r="B12" s="102">
        <v>0.1</v>
      </c>
      <c r="D12" s="102">
        <v>0.1</v>
      </c>
      <c r="E12" s="102">
        <v>0.1</v>
      </c>
      <c r="F12" s="102">
        <v>0.1</v>
      </c>
      <c r="H12" s="102">
        <v>0.1</v>
      </c>
      <c r="L12" s="7" t="s">
        <v>97</v>
      </c>
      <c r="M12" s="8">
        <f>HLOOKUP(B3,Reference!B2:L13,10,FALSE)</f>
        <v>1194</v>
      </c>
    </row>
    <row r="13" spans="1:13" ht="15.75" thickBot="1">
      <c r="A13" t="s">
        <v>0</v>
      </c>
      <c r="B13" s="100">
        <v>0.5</v>
      </c>
      <c r="D13" s="100">
        <v>0.5</v>
      </c>
      <c r="E13" s="100">
        <v>0.5</v>
      </c>
      <c r="F13" s="100">
        <v>0.5</v>
      </c>
      <c r="H13" s="100">
        <v>0.5</v>
      </c>
      <c r="L13" s="7" t="s">
        <v>98</v>
      </c>
      <c r="M13" s="8">
        <f>HLOOKUP(B3,Reference!B2:L13,11,FALSE)</f>
        <v>6.75</v>
      </c>
    </row>
    <row r="14" spans="10:13" ht="33.75" customHeight="1" thickBot="1">
      <c r="J14" s="24" t="s">
        <v>1</v>
      </c>
      <c r="L14" s="7" t="s">
        <v>104</v>
      </c>
      <c r="M14" s="8" t="str">
        <f>HLOOKUP(B3,Reference!B2:L13,12,FALSE)</f>
        <v>Sea Level</v>
      </c>
    </row>
    <row r="15" spans="1:11" ht="15.75" thickBot="1">
      <c r="A15" t="s">
        <v>110</v>
      </c>
      <c r="B15" s="14">
        <f>IF($B$6="Gallons",$M$12*(MIN(B11,B9*B10))/$M$13,$M$12*(MIN(B11,B9*B10)))</f>
        <v>35820</v>
      </c>
      <c r="D15" s="14">
        <f>IF($B$6="Gallons",$M$12*(MIN(D11,D9*D10))/$M$13,$M$12*(MIN(D11,D9*D10)))</f>
        <v>10746</v>
      </c>
      <c r="E15" s="14">
        <f>IF($B$6="Gallons",$M$12*(MIN(E11,E9*E10))/$M$13,$M$12*(MIN(E11,E9*E10)))</f>
        <v>10746</v>
      </c>
      <c r="F15" s="14">
        <f>IF($B$6="Gallons",$M$12*(MIN(F11,F9*F10))/$M$13,$M$12*(MIN(F11,F9*F10)))</f>
        <v>10746</v>
      </c>
      <c r="H15" s="14">
        <f>IF($B$6="Gallons",$M$12*(MIN(H11,H9*H10))/$M$13,$M$12*(MIN(H11,H9*H10)))</f>
        <v>7164</v>
      </c>
      <c r="J15" s="49">
        <f>SUM(B15:H15)</f>
        <v>75222</v>
      </c>
      <c r="K15" t="str">
        <f>IF(B6="Gallons","Gallons Expended","Pounds Expended")</f>
        <v>Pounds Expended</v>
      </c>
    </row>
    <row r="16" spans="1:10" ht="15">
      <c r="A16" s="6" t="s">
        <v>112</v>
      </c>
      <c r="B16" s="16" t="str">
        <f>M11</f>
        <v>Hover Mix</v>
      </c>
      <c r="C16" s="17"/>
      <c r="D16" s="16" t="str">
        <f>M11</f>
        <v>Hover Mix</v>
      </c>
      <c r="E16" s="16" t="str">
        <f>M11</f>
        <v>Hover Mix</v>
      </c>
      <c r="F16" s="16" t="str">
        <f>M11</f>
        <v>Hover Mix</v>
      </c>
      <c r="G16" s="17"/>
      <c r="H16" s="16" t="str">
        <f>M11</f>
        <v>Hover Mix</v>
      </c>
      <c r="J16" s="26"/>
    </row>
    <row r="17" spans="1:10" ht="15">
      <c r="A17" s="6" t="s">
        <v>113</v>
      </c>
      <c r="B17" s="18">
        <f>B15/B11</f>
        <v>1194</v>
      </c>
      <c r="C17" s="19"/>
      <c r="D17" s="18">
        <f>D15/D11</f>
        <v>1194</v>
      </c>
      <c r="E17" s="18">
        <f>E15/E11</f>
        <v>1194</v>
      </c>
      <c r="F17" s="18">
        <f>F15/F11</f>
        <v>1194</v>
      </c>
      <c r="G17" s="19"/>
      <c r="H17" s="18">
        <f>H15/H11</f>
        <v>1194</v>
      </c>
      <c r="J17" s="26"/>
    </row>
    <row r="18" spans="1:10" ht="15">
      <c r="A18" s="6" t="s">
        <v>114</v>
      </c>
      <c r="B18" s="16"/>
      <c r="C18" s="17"/>
      <c r="D18" s="16"/>
      <c r="E18" s="16"/>
      <c r="F18" s="16"/>
      <c r="G18" s="17"/>
      <c r="H18" s="16"/>
      <c r="J18" s="26"/>
    </row>
    <row r="19" ht="15.75" thickBot="1">
      <c r="J19" s="26"/>
    </row>
    <row r="20" spans="1:11" ht="15.75" thickBot="1">
      <c r="A20" t="s">
        <v>115</v>
      </c>
      <c r="B20" s="20">
        <f>IF($B$6="Gallons",B15*$B$5,$B$5/$M$13*B15)</f>
        <v>68986.66666666666</v>
      </c>
      <c r="D20" s="20">
        <f>IF($B$6="Gallons",D15*$B$5,$B$5/$M$13*D15)</f>
        <v>20696</v>
      </c>
      <c r="E20" s="20">
        <f>IF($B$6="Gallons",E15*$B$5,$B$5/$M$13*E15)</f>
        <v>20696</v>
      </c>
      <c r="F20" s="20">
        <f>IF($B$6="Gallons",F15*$B$5,$B$5/$M$13*F15)</f>
        <v>20696</v>
      </c>
      <c r="H20" s="20">
        <f>IF($B$6="Gallons",H15*$B$5,$B$5/$M$13*H15)</f>
        <v>13797.333333333332</v>
      </c>
      <c r="J20" s="27">
        <f>SUM(B20:H20)</f>
        <v>144872</v>
      </c>
      <c r="K20" t="s">
        <v>2</v>
      </c>
    </row>
    <row r="21" spans="1:10" ht="15">
      <c r="A21" s="6" t="s">
        <v>116</v>
      </c>
      <c r="B21" s="16" t="str">
        <f>B16</f>
        <v>Hover Mix</v>
      </c>
      <c r="C21" s="17"/>
      <c r="D21" s="16" t="str">
        <f>D16</f>
        <v>Hover Mix</v>
      </c>
      <c r="E21" s="16" t="str">
        <f>E16</f>
        <v>Hover Mix</v>
      </c>
      <c r="F21" s="16" t="str">
        <f>F16</f>
        <v>Hover Mix</v>
      </c>
      <c r="G21" s="17"/>
      <c r="H21" s="16" t="str">
        <f>H16</f>
        <v>Hover Mix</v>
      </c>
      <c r="J21" s="26"/>
    </row>
    <row r="22" spans="1:10" ht="15">
      <c r="A22" s="6" t="s">
        <v>117</v>
      </c>
      <c r="B22" s="16">
        <f>B5/M13*M12</f>
        <v>2299.555555555555</v>
      </c>
      <c r="C22" s="17"/>
      <c r="D22" s="16">
        <f>B22</f>
        <v>2299.555555555555</v>
      </c>
      <c r="E22" s="16">
        <f>B22</f>
        <v>2299.555555555555</v>
      </c>
      <c r="F22" s="16">
        <f>B22</f>
        <v>2299.555555555555</v>
      </c>
      <c r="G22" s="17"/>
      <c r="H22" s="16">
        <f>B22</f>
        <v>2299.555555555555</v>
      </c>
      <c r="J22" s="26"/>
    </row>
    <row r="23" spans="1:17" ht="15">
      <c r="A23" s="6" t="s">
        <v>118</v>
      </c>
      <c r="B23" s="16"/>
      <c r="C23" s="17"/>
      <c r="D23" s="16"/>
      <c r="E23" s="16"/>
      <c r="F23" s="16"/>
      <c r="G23" s="17"/>
      <c r="H23" s="16"/>
      <c r="J23" s="26"/>
      <c r="Q23" t="s">
        <v>169</v>
      </c>
    </row>
    <row r="24" spans="10:18" ht="15.75" thickBot="1">
      <c r="J24" s="26"/>
      <c r="Q24" t="s">
        <v>171</v>
      </c>
      <c r="R24" t="s">
        <v>172</v>
      </c>
    </row>
    <row r="25" spans="1:18" ht="15.75" thickBot="1">
      <c r="A25" t="s">
        <v>119</v>
      </c>
      <c r="B25" s="11">
        <f>B11</f>
        <v>30</v>
      </c>
      <c r="D25" s="11">
        <f>D11</f>
        <v>9</v>
      </c>
      <c r="E25" s="11">
        <f>E11</f>
        <v>9</v>
      </c>
      <c r="F25" s="11">
        <f>F11</f>
        <v>9</v>
      </c>
      <c r="H25" s="11">
        <f>H11</f>
        <v>6</v>
      </c>
      <c r="J25" s="25">
        <f>SUM(B25:H25)</f>
        <v>63</v>
      </c>
      <c r="K25" t="s">
        <v>52</v>
      </c>
      <c r="P25" t="s">
        <v>80</v>
      </c>
      <c r="Q25" s="114">
        <f>J15</f>
        <v>75222</v>
      </c>
      <c r="R25" s="51">
        <f>J20</f>
        <v>144872</v>
      </c>
    </row>
    <row r="26" spans="1:18" ht="15.75" thickBot="1">
      <c r="A26" t="s">
        <v>138</v>
      </c>
      <c r="B26" s="14">
        <f>((MIN(B11,B9*B10))/((1-B12)*$M$8/$M$12)-B9)*B13</f>
        <v>2.4968612680477085</v>
      </c>
      <c r="C26" s="15"/>
      <c r="D26" s="14">
        <f>((MIN(D11,D9*D10))/((1-D12)*$M$8/$M$12)-D9)*D13</f>
        <v>0.4990583804143127</v>
      </c>
      <c r="E26" s="14">
        <f>((MIN(E11,E9*E10))/((1-E12)*$M$8/$M$12)-E9)*E13</f>
        <v>0.4990583804143127</v>
      </c>
      <c r="F26" s="14">
        <f>((MIN(F11,F9*F10))/((1-F12)*$M$8/$M$12)-F9)*F13</f>
        <v>0.4990583804143127</v>
      </c>
      <c r="G26" s="15"/>
      <c r="H26" s="14">
        <f>((MIN(H11,H9*H10))/((1-H12)*$M$8/$M$12)-H9)*H13</f>
        <v>0.49937225360954174</v>
      </c>
      <c r="J26" s="25">
        <f>SUM(B26:H26)</f>
        <v>4.493408662900189</v>
      </c>
      <c r="K26" t="s">
        <v>4</v>
      </c>
      <c r="P26" t="str">
        <f>J31</f>
        <v>Composite</v>
      </c>
      <c r="Q26" s="114">
        <f>J33</f>
        <v>75170.84904</v>
      </c>
      <c r="R26" s="51">
        <f>J35</f>
        <v>144773.48704</v>
      </c>
    </row>
    <row r="27" spans="16:18" ht="15">
      <c r="P27" t="s">
        <v>170</v>
      </c>
      <c r="Q27" s="114">
        <f>J39</f>
        <v>74982.79404000001</v>
      </c>
      <c r="R27" s="52">
        <f>J41</f>
        <v>144411.30704</v>
      </c>
    </row>
    <row r="30" ht="15.75" thickBot="1"/>
    <row r="31" spans="2:12" ht="18.75">
      <c r="B31" s="106"/>
      <c r="J31" s="127" t="s">
        <v>50</v>
      </c>
      <c r="K31" s="128"/>
      <c r="L31" s="129"/>
    </row>
    <row r="32" spans="10:12" ht="15">
      <c r="J32" s="107">
        <f>VLOOKUP(J31,Technologies!$A$2:$F$10,2,FALSE)</f>
        <v>0.00068</v>
      </c>
      <c r="K32" s="108">
        <f>IF(OR(J31=Technologies!$A$6,J31=Technologies!$A$7,J31=Technologies!$A$8,J31=Technologies!$A$14),VLOOKUP(J31,Technologies!$A$2:$C$15,3,FALSE),B5)</f>
        <v>13</v>
      </c>
      <c r="L32" s="109"/>
    </row>
    <row r="33" spans="10:12" ht="15">
      <c r="J33" s="110">
        <f>(1-J32)*J15</f>
        <v>75170.84904</v>
      </c>
      <c r="K33" s="122" t="str">
        <f>K15</f>
        <v>Pounds Expended</v>
      </c>
      <c r="L33" s="123"/>
    </row>
    <row r="34" spans="10:12" ht="15">
      <c r="J34" s="111"/>
      <c r="K34" s="108"/>
      <c r="L34" s="109"/>
    </row>
    <row r="35" spans="10:12" ht="15.75" thickBot="1">
      <c r="J35" s="113">
        <f>K32/M13*J33</f>
        <v>144773.48704</v>
      </c>
      <c r="K35" s="124" t="str">
        <f>K20</f>
        <v>$ Expended</v>
      </c>
      <c r="L35" s="125"/>
    </row>
    <row r="36" ht="15.75" thickBot="1"/>
    <row r="37" spans="10:12" ht="15">
      <c r="J37" s="119" t="str">
        <f>IF(J31=Technologies!$A$3,"Driveshaft Removal Not Applicable","Also Remove Driveshaft")</f>
        <v>Also Remove Driveshaft</v>
      </c>
      <c r="K37" s="120"/>
      <c r="L37" s="121"/>
    </row>
    <row r="38" spans="10:12" ht="15">
      <c r="J38" s="107">
        <f>J32+Technologies!$E$18</f>
        <v>0.00318</v>
      </c>
      <c r="K38" s="108">
        <f>K32</f>
        <v>13</v>
      </c>
      <c r="L38" s="109"/>
    </row>
    <row r="39" spans="10:12" ht="15">
      <c r="J39" s="110">
        <f>(1-J38)*J15</f>
        <v>74982.79404000001</v>
      </c>
      <c r="K39" s="122" t="str">
        <f>K15</f>
        <v>Pounds Expended</v>
      </c>
      <c r="L39" s="123"/>
    </row>
    <row r="40" spans="10:12" ht="15">
      <c r="J40" s="111"/>
      <c r="K40" s="108"/>
      <c r="L40" s="109"/>
    </row>
    <row r="41" spans="10:12" ht="15.75" thickBot="1">
      <c r="J41" s="112">
        <f>K32/M13*J39</f>
        <v>144411.30704</v>
      </c>
      <c r="K41" s="124" t="str">
        <f>K20</f>
        <v>$ Expended</v>
      </c>
      <c r="L41" s="125"/>
    </row>
  </sheetData>
  <sheetProtection/>
  <mergeCells count="7">
    <mergeCell ref="J37:L37"/>
    <mergeCell ref="K39:L39"/>
    <mergeCell ref="K41:L41"/>
    <mergeCell ref="A1:M1"/>
    <mergeCell ref="J31:L31"/>
    <mergeCell ref="K33:L33"/>
    <mergeCell ref="K35:L35"/>
  </mergeCells>
  <dataValidations count="4">
    <dataValidation type="list" allowBlank="1" showInputMessage="1" showErrorMessage="1" sqref="B3 H3 D3:F3">
      <formula1>Aircraft_Type</formula1>
    </dataValidation>
    <dataValidation type="list" allowBlank="1" showInputMessage="1" showErrorMessage="1" sqref="B6:B7 H6:H7 D6:F7">
      <formula1>Unit</formula1>
    </dataValidation>
    <dataValidation type="list" allowBlank="1" showInputMessage="1" showErrorMessage="1" sqref="B8 H8 D8:F8">
      <formula1>Location</formula1>
    </dataValidation>
    <dataValidation type="list" allowBlank="1" showInputMessage="1" showErrorMessage="1" sqref="J31">
      <formula1>Technologies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zoomScale="70" zoomScaleNormal="70" zoomScalePageLayoutView="70" workbookViewId="0" topLeftCell="A1">
      <selection activeCell="H40" sqref="H40"/>
    </sheetView>
  </sheetViews>
  <sheetFormatPr defaultColWidth="8.8515625" defaultRowHeight="15"/>
  <cols>
    <col min="1" max="1" width="30.421875" style="0" customWidth="1"/>
    <col min="2" max="2" width="12.421875" style="11" customWidth="1"/>
    <col min="3" max="3" width="7.421875" style="0" customWidth="1"/>
    <col min="4" max="4" width="12.421875" style="11" customWidth="1"/>
    <col min="5" max="5" width="5.421875" style="0" customWidth="1"/>
    <col min="6" max="6" width="12.421875" style="11" customWidth="1"/>
    <col min="7" max="7" width="3.7109375" style="0" customWidth="1"/>
    <col min="8" max="8" width="16.00390625" style="23" customWidth="1"/>
    <col min="9" max="9" width="16.7109375" style="0" customWidth="1"/>
    <col min="10" max="10" width="25.140625" style="0" customWidth="1"/>
    <col min="11" max="11" width="10.421875" style="1" customWidth="1"/>
    <col min="12" max="12" width="8.8515625" style="0" customWidth="1"/>
    <col min="13" max="13" width="25.421875" style="0" customWidth="1"/>
    <col min="14" max="14" width="8.8515625" style="0" customWidth="1"/>
    <col min="15" max="15" width="11.140625" style="0" bestFit="1" customWidth="1"/>
    <col min="16" max="16" width="25.140625" style="0" customWidth="1"/>
  </cols>
  <sheetData>
    <row r="1" spans="1:17" ht="18.75">
      <c r="A1" s="126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4:17" ht="15.75" thickBot="1">
      <c r="N2" s="1"/>
      <c r="Q2" s="1"/>
    </row>
    <row r="3" spans="1:17" ht="15.75" thickBot="1">
      <c r="A3" t="s">
        <v>108</v>
      </c>
      <c r="B3" s="100" t="s">
        <v>83</v>
      </c>
      <c r="D3" s="100" t="s">
        <v>83</v>
      </c>
      <c r="F3" s="105" t="s">
        <v>83</v>
      </c>
      <c r="J3" t="s">
        <v>109</v>
      </c>
      <c r="K3" s="1" t="str">
        <f>B3</f>
        <v>CH-53E</v>
      </c>
      <c r="M3" t="s">
        <v>109</v>
      </c>
      <c r="N3" s="1" t="str">
        <f>D3</f>
        <v>CH-53E</v>
      </c>
      <c r="P3" t="s">
        <v>109</v>
      </c>
      <c r="Q3" s="1" t="str">
        <f>F3</f>
        <v>CH-53E</v>
      </c>
    </row>
    <row r="4" spans="10:17" ht="15.75" thickBot="1">
      <c r="J4" s="7" t="s">
        <v>87</v>
      </c>
      <c r="K4" s="56" t="str">
        <f>HLOOKUP(B3,Reference!$B$2:$L$13,2,FALSE)</f>
        <v>Heavy Lift</v>
      </c>
      <c r="M4" s="7" t="s">
        <v>87</v>
      </c>
      <c r="N4" s="56" t="str">
        <f>HLOOKUP($D$3,Reference!$B$2:$L$13,2,FALSE)</f>
        <v>Heavy Lift</v>
      </c>
      <c r="P4" s="7" t="s">
        <v>87</v>
      </c>
      <c r="Q4" s="56" t="str">
        <f>HLOOKUP(F3,Reference!$B$2:$L$13,2,FALSE)</f>
        <v>Heavy Lift</v>
      </c>
    </row>
    <row r="5" spans="1:17" ht="15.75" thickBot="1">
      <c r="A5" t="s">
        <v>137</v>
      </c>
      <c r="B5" s="101">
        <v>13</v>
      </c>
      <c r="D5" s="22">
        <v>13</v>
      </c>
      <c r="F5" s="22">
        <v>13</v>
      </c>
      <c r="J5" s="7" t="s">
        <v>94</v>
      </c>
      <c r="K5" s="8">
        <f>HLOOKUP(B3,Reference!B2:L13,3,FALSE)</f>
        <v>33226</v>
      </c>
      <c r="M5" s="7" t="s">
        <v>94</v>
      </c>
      <c r="N5" s="56">
        <f>HLOOKUP($D$3,Reference!$B$2:$L$13,3,FALSE)</f>
        <v>33226</v>
      </c>
      <c r="P5" s="7" t="s">
        <v>94</v>
      </c>
      <c r="Q5" s="56">
        <f>HLOOKUP(F3,Reference!$B$2:$L$13,3,FALSE)</f>
        <v>33226</v>
      </c>
    </row>
    <row r="6" spans="1:17" ht="15.75" thickBot="1">
      <c r="A6" t="s">
        <v>111</v>
      </c>
      <c r="B6" s="12" t="s">
        <v>122</v>
      </c>
      <c r="D6" s="21" t="s">
        <v>122</v>
      </c>
      <c r="F6" s="21" t="s">
        <v>122</v>
      </c>
      <c r="J6" s="7" t="s">
        <v>95</v>
      </c>
      <c r="K6" s="8">
        <f>HLOOKUP(B3,Reference!B2:L13,4,FALSE)</f>
        <v>40274</v>
      </c>
      <c r="M6" s="7" t="s">
        <v>95</v>
      </c>
      <c r="N6" s="56">
        <f>HLOOKUP($D$3,Reference!$B$2:$L$13,4,FALSE)</f>
        <v>40274</v>
      </c>
      <c r="P6" s="7" t="s">
        <v>95</v>
      </c>
      <c r="Q6" s="56">
        <f>HLOOKUP(F3,Reference!$B$2:$L$13,4,FALSE)</f>
        <v>40274</v>
      </c>
    </row>
    <row r="7" spans="2:17" ht="15.75" thickBot="1">
      <c r="B7" s="13"/>
      <c r="D7" s="13"/>
      <c r="F7" s="13"/>
      <c r="J7" s="7" t="s">
        <v>103</v>
      </c>
      <c r="K7" s="8">
        <f>HLOOKUP(B3,Reference!B2:L13,5,FALSE)</f>
        <v>37</v>
      </c>
      <c r="M7" s="7" t="s">
        <v>103</v>
      </c>
      <c r="N7" s="56">
        <f>HLOOKUP($D$3,Reference!$B$2:$L$13,5,FALSE)</f>
        <v>37</v>
      </c>
      <c r="P7" s="7" t="s">
        <v>103</v>
      </c>
      <c r="Q7" s="56">
        <f>HLOOKUP(F3,Reference!$B$2:$L$13,5,FALSE)</f>
        <v>37</v>
      </c>
    </row>
    <row r="8" spans="1:17" ht="15.75" thickBot="1">
      <c r="A8" t="s">
        <v>124</v>
      </c>
      <c r="B8" s="100" t="s">
        <v>129</v>
      </c>
      <c r="D8" s="100" t="s">
        <v>129</v>
      </c>
      <c r="F8" s="100" t="s">
        <v>129</v>
      </c>
      <c r="J8" s="7" t="s">
        <v>100</v>
      </c>
      <c r="K8" s="8">
        <f>HLOOKUP(B3,Reference!B2:L13,6,FALSE)</f>
        <v>15369.75</v>
      </c>
      <c r="M8" s="7" t="s">
        <v>100</v>
      </c>
      <c r="N8" s="56">
        <f>HLOOKUP($D$3,Reference!$B$2:$L$13,6,FALSE)</f>
        <v>15369.75</v>
      </c>
      <c r="P8" s="7" t="s">
        <v>100</v>
      </c>
      <c r="Q8" s="56">
        <f>HLOOKUP(F3,Reference!$B$2:$L$13,6,FALSE)</f>
        <v>15369.75</v>
      </c>
    </row>
    <row r="9" spans="1:17" ht="15.75" thickBot="1">
      <c r="A9" t="s">
        <v>123</v>
      </c>
      <c r="B9" s="100">
        <v>13</v>
      </c>
      <c r="D9" s="100">
        <v>7</v>
      </c>
      <c r="F9" s="100">
        <v>4</v>
      </c>
      <c r="J9" s="9" t="s">
        <v>106</v>
      </c>
      <c r="K9" s="10">
        <f>HLOOKUP(B3,Reference!B2:L13,7,FALSE)</f>
        <v>5.54</v>
      </c>
      <c r="M9" s="9" t="s">
        <v>106</v>
      </c>
      <c r="N9" s="56">
        <f>HLOOKUP($D$3,Reference!$B$2:$L$13,7,FALSE)</f>
        <v>5.54</v>
      </c>
      <c r="P9" s="9" t="s">
        <v>106</v>
      </c>
      <c r="Q9" s="56">
        <f>HLOOKUP(F3,Reference!$B$2:$L$13,7,FALSE)</f>
        <v>5.54</v>
      </c>
    </row>
    <row r="10" spans="1:17" ht="15.75" thickBot="1">
      <c r="A10" t="s">
        <v>20</v>
      </c>
      <c r="B10" s="100" t="s">
        <v>6</v>
      </c>
      <c r="D10" s="100" t="s">
        <v>7</v>
      </c>
      <c r="F10" s="100" t="s">
        <v>33</v>
      </c>
      <c r="J10" s="9" t="s">
        <v>107</v>
      </c>
      <c r="K10" s="8">
        <f>HLOOKUP(B3,Reference!B2:L13,8,FALSE)</f>
        <v>580</v>
      </c>
      <c r="M10" s="9" t="s">
        <v>107</v>
      </c>
      <c r="N10" s="56">
        <f>HLOOKUP($D$3,Reference!$B$2:$L$13,8,FALSE)</f>
        <v>580</v>
      </c>
      <c r="P10" s="9" t="s">
        <v>107</v>
      </c>
      <c r="Q10" s="56">
        <f>HLOOKUP(F3,Reference!$B$2:$L$13,8,FALSE)</f>
        <v>580</v>
      </c>
    </row>
    <row r="11" spans="1:17" ht="15.75" thickBot="1">
      <c r="A11" t="s">
        <v>21</v>
      </c>
      <c r="B11" s="100">
        <v>260</v>
      </c>
      <c r="D11" s="100">
        <v>260</v>
      </c>
      <c r="F11" s="100">
        <v>260</v>
      </c>
      <c r="J11" s="7" t="s">
        <v>96</v>
      </c>
      <c r="K11" s="8">
        <f>HLOOKUP(B3,Reference!B2:L13,9,FALSE)</f>
        <v>144</v>
      </c>
      <c r="M11" s="7" t="s">
        <v>96</v>
      </c>
      <c r="N11" s="56">
        <f>HLOOKUP($D$3,Reference!$B$2:$L$13,9,FALSE)</f>
        <v>144</v>
      </c>
      <c r="P11" s="7" t="s">
        <v>96</v>
      </c>
      <c r="Q11" s="56">
        <f>HLOOKUP(F3,Reference!$B$2:$L$13,9,FALSE)</f>
        <v>144</v>
      </c>
    </row>
    <row r="12" spans="1:17" ht="15.75" thickBot="1">
      <c r="A12" t="s">
        <v>135</v>
      </c>
      <c r="B12" s="102">
        <v>0.1</v>
      </c>
      <c r="D12" s="102">
        <v>0.1</v>
      </c>
      <c r="F12" s="102">
        <v>0.1</v>
      </c>
      <c r="J12" s="7" t="s">
        <v>97</v>
      </c>
      <c r="K12" s="8">
        <f>HLOOKUP(B3,Reference!B2:L13,10,FALSE)</f>
        <v>4008</v>
      </c>
      <c r="M12" s="7" t="s">
        <v>97</v>
      </c>
      <c r="N12" s="56">
        <f>HLOOKUP($D$3,Reference!$B$2:$L$13,10,FALSE)</f>
        <v>4008</v>
      </c>
      <c r="P12" s="7" t="s">
        <v>97</v>
      </c>
      <c r="Q12" s="56">
        <f>HLOOKUP(F3,Reference!$B$2:$L$13,10,FALSE)</f>
        <v>4008</v>
      </c>
    </row>
    <row r="13" spans="1:17" ht="15.75" thickBot="1">
      <c r="A13" t="s">
        <v>0</v>
      </c>
      <c r="B13" s="100">
        <v>0.5</v>
      </c>
      <c r="D13" s="100">
        <v>0.5</v>
      </c>
      <c r="F13" s="100">
        <v>0.5</v>
      </c>
      <c r="J13" s="7" t="s">
        <v>98</v>
      </c>
      <c r="K13" s="8">
        <f>HLOOKUP(B3,Reference!B2:L13,11,FALSE)</f>
        <v>6.75</v>
      </c>
      <c r="M13" s="7" t="s">
        <v>98</v>
      </c>
      <c r="N13" s="56">
        <f>HLOOKUP($D$3,Reference!$B$2:$L$13,11,FALSE)</f>
        <v>6.75</v>
      </c>
      <c r="P13" s="7" t="s">
        <v>98</v>
      </c>
      <c r="Q13" s="56">
        <f>HLOOKUP(F3,Reference!$B$2:$L$13,11,FALSE)</f>
        <v>6.75</v>
      </c>
    </row>
    <row r="14" spans="2:17" ht="33.75" customHeight="1">
      <c r="B14" s="13"/>
      <c r="D14" s="13"/>
      <c r="F14" s="13"/>
      <c r="J14" s="7" t="s">
        <v>104</v>
      </c>
      <c r="K14" s="8" t="str">
        <f>HLOOKUP(B3,Reference!B2:L13,12,FALSE)</f>
        <v>Sea Level</v>
      </c>
      <c r="M14" s="7" t="s">
        <v>104</v>
      </c>
      <c r="N14" s="56" t="str">
        <f>HLOOKUP($D$3,Reference!$B$2:$L$13,12,FALSE)</f>
        <v>Sea Level</v>
      </c>
      <c r="P14" s="7" t="s">
        <v>104</v>
      </c>
      <c r="Q14" s="56" t="str">
        <f>HLOOKUP(F3,Reference!$B$2:$L$13,12,FALSE)</f>
        <v>Sea Level</v>
      </c>
    </row>
    <row r="15" spans="1:14" ht="15.75" thickBot="1">
      <c r="A15" t="s">
        <v>22</v>
      </c>
      <c r="B15" s="13"/>
      <c r="D15" s="13"/>
      <c r="F15" s="13"/>
      <c r="N15" s="52"/>
    </row>
    <row r="16" spans="1:11" ht="15.75" thickBot="1">
      <c r="A16" s="35" t="s">
        <v>8</v>
      </c>
      <c r="B16" s="36" t="s">
        <v>6</v>
      </c>
      <c r="C16" s="37"/>
      <c r="D16" s="36" t="s">
        <v>7</v>
      </c>
      <c r="E16" s="37"/>
      <c r="F16" s="36" t="s">
        <v>33</v>
      </c>
      <c r="G16" s="37"/>
      <c r="H16" s="38"/>
      <c r="J16" s="28" t="s">
        <v>13</v>
      </c>
      <c r="K16" s="29"/>
    </row>
    <row r="17" spans="1:11" ht="15.75" thickBot="1">
      <c r="A17" s="39" t="s">
        <v>11</v>
      </c>
      <c r="B17" s="32">
        <f>VLOOKUP(B16,$J$17:$K$20,2,TRUE)</f>
        <v>110</v>
      </c>
      <c r="C17" s="40"/>
      <c r="D17" s="32">
        <f>VLOOKUP(D16,$J$17:$K$20,2,FALSE)</f>
        <v>80</v>
      </c>
      <c r="E17" s="40"/>
      <c r="F17" s="32">
        <f>VLOOKUP(F16,$J$17:$K$20,2,TRUE)</f>
        <v>125</v>
      </c>
      <c r="G17" s="40"/>
      <c r="H17" s="41"/>
      <c r="J17" s="30" t="s">
        <v>10</v>
      </c>
      <c r="K17" s="31">
        <f>K11</f>
        <v>144</v>
      </c>
    </row>
    <row r="18" spans="1:11" ht="15">
      <c r="A18" s="39" t="s">
        <v>15</v>
      </c>
      <c r="B18" s="42">
        <f>IF(B$6="Gallons",B$11/B17*$K$12/$K$13,B$11/B17*$K$12)</f>
        <v>9473.454545454546</v>
      </c>
      <c r="C18" s="42"/>
      <c r="D18" s="42">
        <f>IF(D$6="Gallons",D$11/D17*N12/$K$13,D$11/D17*N12)</f>
        <v>13026</v>
      </c>
      <c r="E18" s="42"/>
      <c r="F18" s="42">
        <f>IF(F$6="Gallons",F$11/F17*$K$12/$K$13,F$11/F17*$K$12)</f>
        <v>8336.64</v>
      </c>
      <c r="G18" s="40"/>
      <c r="H18" s="41"/>
      <c r="J18" s="30" t="s">
        <v>33</v>
      </c>
      <c r="K18" s="31">
        <v>125</v>
      </c>
    </row>
    <row r="19" spans="1:11" ht="15">
      <c r="A19" s="43" t="s">
        <v>112</v>
      </c>
      <c r="B19" s="34">
        <f>IF(B6="Gallons",$K$12/$K$13/B17,$K$12/B17)</f>
        <v>36.43636363636364</v>
      </c>
      <c r="C19" s="34"/>
      <c r="D19" s="34">
        <f>IF(D6="Gallons",$K$12/$K$13/D17,$K$12/D17)</f>
        <v>50.1</v>
      </c>
      <c r="E19" s="34"/>
      <c r="F19" s="34">
        <f>IF(F6="Gallons",$K$12/$K$13/F17,$K$12/F17)</f>
        <v>32.064</v>
      </c>
      <c r="G19" s="40"/>
      <c r="H19" s="41"/>
      <c r="J19" s="30" t="s">
        <v>6</v>
      </c>
      <c r="K19" s="31">
        <v>110</v>
      </c>
    </row>
    <row r="20" spans="1:11" ht="15">
      <c r="A20" s="43" t="s">
        <v>113</v>
      </c>
      <c r="B20" s="34">
        <f>$K$12</f>
        <v>4008</v>
      </c>
      <c r="C20" s="34"/>
      <c r="D20" s="34">
        <f>$K$12</f>
        <v>4008</v>
      </c>
      <c r="E20" s="34"/>
      <c r="F20" s="34">
        <f>$K$12</f>
        <v>4008</v>
      </c>
      <c r="G20" s="40"/>
      <c r="H20" s="41"/>
      <c r="J20" s="30" t="s">
        <v>7</v>
      </c>
      <c r="K20" s="31">
        <v>80</v>
      </c>
    </row>
    <row r="21" spans="1:8" ht="15">
      <c r="A21" s="43" t="s">
        <v>114</v>
      </c>
      <c r="B21" s="34">
        <f>B18/VLOOKUP(B16,$J$23:$K$27,2,TRUE)</f>
        <v>0.20493779573085594</v>
      </c>
      <c r="C21" s="34"/>
      <c r="D21" s="34">
        <f>D18/VLOOKUP(D16,$J$23:$K$27,2,FALSE)</f>
        <v>0.21993718974774593</v>
      </c>
      <c r="E21" s="34"/>
      <c r="F21" s="34">
        <f>F18/VLOOKUP(F16,$J$23:$K$27,2,TRUE)</f>
        <v>0.21808821221158373</v>
      </c>
      <c r="G21" s="40"/>
      <c r="H21" s="41"/>
    </row>
    <row r="22" spans="1:10" ht="15">
      <c r="A22" s="39" t="s">
        <v>16</v>
      </c>
      <c r="B22" s="42">
        <f>B$11/B17</f>
        <v>2.3636363636363638</v>
      </c>
      <c r="C22" s="42"/>
      <c r="D22" s="42">
        <f>D$11/D17</f>
        <v>3.25</v>
      </c>
      <c r="E22" s="42"/>
      <c r="F22" s="42">
        <f>F$11/F17</f>
        <v>2.08</v>
      </c>
      <c r="G22" s="40"/>
      <c r="H22" s="41"/>
      <c r="J22" s="28" t="s">
        <v>23</v>
      </c>
    </row>
    <row r="23" spans="1:11" ht="15">
      <c r="A23" s="39" t="s">
        <v>138</v>
      </c>
      <c r="B23" s="42">
        <f>IF(B24&gt;(B22+B32),"N/A",B13)</f>
        <v>0.5</v>
      </c>
      <c r="C23" s="42"/>
      <c r="D23" s="42">
        <f>IF(D24&gt;(D22+D32),"N/A",D13)</f>
        <v>0.5</v>
      </c>
      <c r="E23" s="42"/>
      <c r="F23" s="42">
        <f>IF(F24&gt;(F22+F32),"N/A",F13)</f>
        <v>0.5</v>
      </c>
      <c r="G23" s="40"/>
      <c r="H23" s="41"/>
      <c r="J23" s="30" t="s">
        <v>10</v>
      </c>
      <c r="K23" s="31">
        <f>K5+K29</f>
        <v>33226</v>
      </c>
    </row>
    <row r="24" spans="1:11" ht="15">
      <c r="A24" s="39" t="s">
        <v>120</v>
      </c>
      <c r="B24" s="42">
        <f>$K$8*(1-B12)/$K$12</f>
        <v>3.4512911676646705</v>
      </c>
      <c r="C24" s="42"/>
      <c r="D24" s="42">
        <f>$K$8*(1-D12)/$K$12</f>
        <v>3.4512911676646705</v>
      </c>
      <c r="E24" s="42"/>
      <c r="F24" s="42">
        <f>$K$8*(1-F12)/$K$12</f>
        <v>3.4512911676646705</v>
      </c>
      <c r="G24" s="40"/>
      <c r="H24" s="41"/>
      <c r="J24" s="30" t="s">
        <v>33</v>
      </c>
      <c r="K24" s="31">
        <f>K5+K30</f>
        <v>38226</v>
      </c>
    </row>
    <row r="25" spans="1:11" ht="15.75" thickBot="1">
      <c r="A25" s="43"/>
      <c r="B25" s="44"/>
      <c r="C25" s="40"/>
      <c r="D25" s="44"/>
      <c r="E25" s="40"/>
      <c r="F25" s="44"/>
      <c r="G25" s="40"/>
      <c r="H25" s="41"/>
      <c r="J25" s="30" t="s">
        <v>6</v>
      </c>
      <c r="K25" s="31">
        <f>K5+K31</f>
        <v>46226</v>
      </c>
    </row>
    <row r="26" spans="1:11" ht="15.75" thickBot="1">
      <c r="A26" s="39" t="s">
        <v>9</v>
      </c>
      <c r="B26" s="36" t="s">
        <v>10</v>
      </c>
      <c r="C26" s="40"/>
      <c r="D26" s="36" t="s">
        <v>10</v>
      </c>
      <c r="E26" s="40"/>
      <c r="F26" s="36" t="s">
        <v>10</v>
      </c>
      <c r="G26" s="40"/>
      <c r="H26" s="41"/>
      <c r="J26" s="30" t="s">
        <v>7</v>
      </c>
      <c r="K26" s="31">
        <f>K5+K32</f>
        <v>59226</v>
      </c>
    </row>
    <row r="27" spans="1:8" ht="15.75" thickBot="1">
      <c r="A27" s="39" t="s">
        <v>12</v>
      </c>
      <c r="B27" s="32">
        <f>VLOOKUP(B26,$J$17:$K$20,2,TRUE)</f>
        <v>144</v>
      </c>
      <c r="C27" s="40"/>
      <c r="D27" s="32">
        <f>VLOOKUP(D26,$J$17:$K$20,2,TRUE)</f>
        <v>144</v>
      </c>
      <c r="E27" s="40"/>
      <c r="F27" s="32">
        <f>VLOOKUP(F26,$J$17:$K$20,2,TRUE)</f>
        <v>144</v>
      </c>
      <c r="G27" s="40"/>
      <c r="H27" s="41"/>
    </row>
    <row r="28" spans="1:10" ht="15">
      <c r="A28" s="39" t="s">
        <v>17</v>
      </c>
      <c r="B28" s="42">
        <f>IF(B$6="Gallons",B$11/B27*$K$12/$K$13,B$11/B27*$K$12)</f>
        <v>7236.666666666667</v>
      </c>
      <c r="C28" s="42"/>
      <c r="D28" s="42">
        <f>IF(D$6="Gallons",D$11/D27*$K$12/$K$13,D$11/D27*$K$12)</f>
        <v>7236.666666666667</v>
      </c>
      <c r="E28" s="42"/>
      <c r="F28" s="42">
        <f>IF(F$6="Gallons",F$11/F27*$K$12/$K$13,F$11/F27*$K$12)</f>
        <v>7236.666666666667</v>
      </c>
      <c r="G28" s="40"/>
      <c r="H28" s="41"/>
      <c r="J28" s="28" t="s">
        <v>37</v>
      </c>
    </row>
    <row r="29" spans="1:11" ht="15">
      <c r="A29" s="43" t="s">
        <v>112</v>
      </c>
      <c r="B29" s="34">
        <f>IF(B16="Gallons",$K$12/$K$13/B27,$K$12/B27)</f>
        <v>27.833333333333332</v>
      </c>
      <c r="C29" s="34"/>
      <c r="D29" s="34">
        <f>IF(D16="Gallons",$K$12/$K$13/D27,$K$12/D27)</f>
        <v>27.833333333333332</v>
      </c>
      <c r="E29" s="34"/>
      <c r="F29" s="34">
        <f>IF(F16="Gallons",$K$12/$K$13/F27,$K$12/F27)</f>
        <v>27.833333333333332</v>
      </c>
      <c r="G29" s="40"/>
      <c r="H29" s="41"/>
      <c r="J29" s="30" t="s">
        <v>10</v>
      </c>
      <c r="K29" s="31">
        <v>0</v>
      </c>
    </row>
    <row r="30" spans="1:11" ht="15">
      <c r="A30" s="43" t="s">
        <v>113</v>
      </c>
      <c r="B30" s="34">
        <f>$K$12</f>
        <v>4008</v>
      </c>
      <c r="C30" s="34"/>
      <c r="D30" s="34">
        <f>$K$12</f>
        <v>4008</v>
      </c>
      <c r="E30" s="34"/>
      <c r="F30" s="34">
        <f>$K$12</f>
        <v>4008</v>
      </c>
      <c r="G30" s="40"/>
      <c r="H30" s="41"/>
      <c r="J30" s="30" t="s">
        <v>33</v>
      </c>
      <c r="K30" s="31">
        <v>5000</v>
      </c>
    </row>
    <row r="31" spans="1:11" ht="15">
      <c r="A31" s="43" t="s">
        <v>114</v>
      </c>
      <c r="B31" s="34">
        <f>B28/VLOOKUP(B26,$J$23:$K$27,2,TRUE)</f>
        <v>0.2178013202512089</v>
      </c>
      <c r="C31" s="34"/>
      <c r="D31" s="34">
        <f>D28/VLOOKUP(D26,$J$23:$K$27,2,TRUE)</f>
        <v>0.2178013202512089</v>
      </c>
      <c r="E31" s="34"/>
      <c r="F31" s="34">
        <f>F28/VLOOKUP(F26,$J$23:$K$27,2,TRUE)</f>
        <v>0.2178013202512089</v>
      </c>
      <c r="G31" s="40"/>
      <c r="H31" s="41"/>
      <c r="J31" s="30" t="s">
        <v>6</v>
      </c>
      <c r="K31" s="31">
        <v>13000</v>
      </c>
    </row>
    <row r="32" spans="1:11" ht="15">
      <c r="A32" s="39" t="s">
        <v>18</v>
      </c>
      <c r="B32" s="42">
        <f>B$11/B27</f>
        <v>1.8055555555555556</v>
      </c>
      <c r="C32" s="42"/>
      <c r="D32" s="42">
        <f>D$11/D27</f>
        <v>1.8055555555555556</v>
      </c>
      <c r="E32" s="42"/>
      <c r="F32" s="42">
        <f>F$11/F27</f>
        <v>1.8055555555555556</v>
      </c>
      <c r="G32" s="40"/>
      <c r="H32" s="41"/>
      <c r="J32" s="30" t="s">
        <v>7</v>
      </c>
      <c r="K32" s="31">
        <v>26000</v>
      </c>
    </row>
    <row r="33" spans="1:8" ht="15">
      <c r="A33" s="39" t="s">
        <v>138</v>
      </c>
      <c r="B33" s="42" t="str">
        <f>IF(B34&gt;B32,"N/A",B32/B34)</f>
        <v>N/A</v>
      </c>
      <c r="C33" s="42"/>
      <c r="D33" s="42" t="str">
        <f>IF(D34&gt;D32,"N/A",D32/D34)</f>
        <v>N/A</v>
      </c>
      <c r="E33" s="42"/>
      <c r="F33" s="42" t="str">
        <f>IF(F34&gt;F32,"N/A",F32/F34)</f>
        <v>N/A</v>
      </c>
      <c r="G33" s="40"/>
      <c r="H33" s="41"/>
    </row>
    <row r="34" spans="1:8" ht="15.75" thickBot="1">
      <c r="A34" s="45" t="s">
        <v>120</v>
      </c>
      <c r="B34" s="46">
        <f>$K$8*(1-B12)/$K$12</f>
        <v>3.4512911676646705</v>
      </c>
      <c r="C34" s="46"/>
      <c r="D34" s="46">
        <f>$K$8*(1-D12)/$K$12</f>
        <v>3.4512911676646705</v>
      </c>
      <c r="E34" s="46"/>
      <c r="F34" s="46">
        <f>$K$8*(1-F12)/$K$12</f>
        <v>3.4512911676646705</v>
      </c>
      <c r="G34" s="47"/>
      <c r="H34" s="48"/>
    </row>
    <row r="35" spans="1:6" ht="15">
      <c r="A35" s="6"/>
      <c r="B35" s="13"/>
      <c r="D35" s="13"/>
      <c r="F35" s="13"/>
    </row>
    <row r="36" spans="1:6" ht="15">
      <c r="A36" s="6"/>
      <c r="B36" s="13"/>
      <c r="D36" s="13"/>
      <c r="F36" s="13"/>
    </row>
    <row r="37" spans="1:6" ht="15">
      <c r="A37" s="6"/>
      <c r="B37" s="13"/>
      <c r="D37" s="13"/>
      <c r="F37" s="13"/>
    </row>
    <row r="38" spans="1:6" ht="15.75" thickBot="1">
      <c r="A38" s="6"/>
      <c r="B38" s="13"/>
      <c r="D38" s="13"/>
      <c r="F38" s="13"/>
    </row>
    <row r="39" ht="30.75" thickBot="1">
      <c r="H39" s="24" t="s">
        <v>14</v>
      </c>
    </row>
    <row r="40" spans="1:9" ht="15.75" thickBot="1">
      <c r="A40" t="s">
        <v>110</v>
      </c>
      <c r="B40" s="14">
        <f>(B18+B28)*B9</f>
        <v>217231.57575757575</v>
      </c>
      <c r="D40" s="14">
        <f>(D18+D28)*D9</f>
        <v>141838.6666666667</v>
      </c>
      <c r="F40" s="14">
        <f>(F18+F28)*F9</f>
        <v>62293.22666666667</v>
      </c>
      <c r="H40" s="49">
        <f>SUM(B40:F40)</f>
        <v>421363.4690909091</v>
      </c>
      <c r="I40" t="str">
        <f>IF($B$6="Gallons","Gallons Expended","Pounds Expended")</f>
        <v>Pounds Expended</v>
      </c>
    </row>
    <row r="41" spans="1:8" ht="15">
      <c r="A41" s="6" t="s">
        <v>24</v>
      </c>
      <c r="B41" s="18">
        <f>AVERAGE(B19,B29)</f>
        <v>32.13484848484848</v>
      </c>
      <c r="C41" s="17"/>
      <c r="D41" s="18">
        <f>AVERAGE(D19,D29)</f>
        <v>38.96666666666667</v>
      </c>
      <c r="E41" s="17"/>
      <c r="F41" s="18">
        <f>AVERAGE(F19,F29)</f>
        <v>29.948666666666668</v>
      </c>
      <c r="H41" s="26"/>
    </row>
    <row r="42" spans="1:8" ht="15">
      <c r="A42" s="6" t="s">
        <v>25</v>
      </c>
      <c r="B42" s="18">
        <f>AVERAGE(B20,B30)</f>
        <v>4008</v>
      </c>
      <c r="C42" s="19"/>
      <c r="D42" s="18">
        <f>AVERAGE(D20,D30)</f>
        <v>4008</v>
      </c>
      <c r="E42" s="19"/>
      <c r="F42" s="18">
        <f>AVERAGE(F20,F30)</f>
        <v>4008</v>
      </c>
      <c r="H42" s="26"/>
    </row>
    <row r="43" spans="1:8" ht="15">
      <c r="A43" s="6" t="s">
        <v>26</v>
      </c>
      <c r="B43" s="18">
        <f>AVERAGE(B21,B31)</f>
        <v>0.2113695579910324</v>
      </c>
      <c r="C43" s="17"/>
      <c r="D43" s="18">
        <f>AVERAGE(D21,D31)</f>
        <v>0.2188692549994774</v>
      </c>
      <c r="E43" s="17"/>
      <c r="F43" s="18">
        <f>AVERAGE(F21,F31)</f>
        <v>0.2179447662313963</v>
      </c>
      <c r="H43" s="26"/>
    </row>
    <row r="44" ht="15.75" thickBot="1">
      <c r="H44" s="26"/>
    </row>
    <row r="45" spans="1:9" ht="15.75" thickBot="1">
      <c r="A45" t="s">
        <v>115</v>
      </c>
      <c r="B45" s="55">
        <f>IF($B$6="Gallons",B40*$B$5,$B$5/$K$13*B40)</f>
        <v>418371.92368125694</v>
      </c>
      <c r="C45" s="51"/>
      <c r="D45" s="55">
        <f>IF($B$6="Gallons",D40*$B$5,$B$5/$K$13*D40)</f>
        <v>273170.76543209876</v>
      </c>
      <c r="E45" s="51"/>
      <c r="F45" s="55">
        <f>IF($B$6="Gallons",F40*$B$5,$B$5/$K$13*F40)</f>
        <v>119972.14024691358</v>
      </c>
      <c r="H45" s="27">
        <f>SUM(B45:F45)</f>
        <v>811514.8293602692</v>
      </c>
      <c r="I45" t="s">
        <v>2</v>
      </c>
    </row>
    <row r="46" spans="1:8" ht="15">
      <c r="A46" s="6" t="s">
        <v>28</v>
      </c>
      <c r="B46" s="53">
        <f>B45/(B11*B9)</f>
        <v>123.77867564534229</v>
      </c>
      <c r="C46" s="54"/>
      <c r="D46" s="53">
        <f>D45/(D11*D9)</f>
        <v>150.09382716049382</v>
      </c>
      <c r="E46" s="54"/>
      <c r="F46" s="53">
        <f>F45/(F11*F9)</f>
        <v>115.35782716049383</v>
      </c>
      <c r="H46" s="26"/>
    </row>
    <row r="47" spans="1:8" ht="15">
      <c r="A47" s="6" t="s">
        <v>29</v>
      </c>
      <c r="B47" s="53">
        <f>IF($B$6="Gallons",B42*B5,B42*B5/$K$13)</f>
        <v>7719.111111111111</v>
      </c>
      <c r="C47" s="54"/>
      <c r="D47" s="53">
        <f>IF($B$6="Gallons",D42*D5,D42*D5/$K$13)</f>
        <v>7719.111111111111</v>
      </c>
      <c r="E47" s="54"/>
      <c r="F47" s="53">
        <f>IF($B$6="Gallons",F42*F5,F42*F5/$K$13)</f>
        <v>7719.111111111111</v>
      </c>
      <c r="H47" s="26"/>
    </row>
    <row r="48" spans="1:8" ht="15">
      <c r="A48" s="6" t="s">
        <v>30</v>
      </c>
      <c r="B48" s="50">
        <f>B45/(B9*AVERAGE(VLOOKUP(B16,$J$23:$K$26,2,FALSE)+VLOOKUP(B26,$J$23:$K$26,2,FALSE)))</f>
        <v>0.40505532482239587</v>
      </c>
      <c r="C48" s="54"/>
      <c r="D48" s="50">
        <f>D45/(D9*AVERAGE(VLOOKUP(D16,$J$23:$K$26,2,FALSE)+VLOOKUP(D26,$J$23:$K$26,2,FALSE)))</f>
        <v>0.42210438997240074</v>
      </c>
      <c r="E48" s="54"/>
      <c r="F48" s="50">
        <f>F45/(F9*AVERAGE(VLOOKUP(F16,$J$23:$K$26,2,FALSE)+VLOOKUP(F26,$J$23:$K$26,2,FALSE)))</f>
        <v>0.4197648080071712</v>
      </c>
      <c r="H48" s="26"/>
    </row>
    <row r="49" ht="15.75" thickBot="1">
      <c r="H49" s="26"/>
    </row>
    <row r="50" spans="1:9" ht="15.75" thickBot="1">
      <c r="A50" t="s">
        <v>119</v>
      </c>
      <c r="B50" s="14">
        <f>B22+B32</f>
        <v>4.16919191919192</v>
      </c>
      <c r="D50" s="14">
        <f>D22+D32</f>
        <v>5.055555555555555</v>
      </c>
      <c r="F50" s="14">
        <f>F22+F32</f>
        <v>3.8855555555555554</v>
      </c>
      <c r="H50" s="25">
        <f>SUM(B50:F50)</f>
        <v>13.11030303030303</v>
      </c>
      <c r="I50" t="s">
        <v>3</v>
      </c>
    </row>
    <row r="51" spans="1:9" ht="15.75" thickBot="1">
      <c r="A51" t="s">
        <v>138</v>
      </c>
      <c r="B51" s="14">
        <f>IF(B23="N/A","N/A",B23)*B9</f>
        <v>6.5</v>
      </c>
      <c r="C51" s="15"/>
      <c r="D51" s="14">
        <f>IF(D23="N/A","N/A",D23)*D9</f>
        <v>3.5</v>
      </c>
      <c r="E51" s="15"/>
      <c r="F51" s="14">
        <f>IF(F23="N/A","N/A",F23)*F9</f>
        <v>2</v>
      </c>
      <c r="H51" s="25">
        <f>SUM(B51:F51)</f>
        <v>12</v>
      </c>
      <c r="I51" t="s">
        <v>4</v>
      </c>
    </row>
    <row r="52" spans="1:8" ht="15.75" thickBot="1">
      <c r="A52" t="s">
        <v>120</v>
      </c>
      <c r="B52" s="14">
        <f>K8*(1-F12)/K12</f>
        <v>3.4512911676646705</v>
      </c>
      <c r="D52" s="14">
        <f>D34</f>
        <v>3.4512911676646705</v>
      </c>
      <c r="F52" s="14">
        <f>F34</f>
        <v>3.4512911676646705</v>
      </c>
      <c r="H52" s="25">
        <f>SUM(B52:F52)</f>
        <v>10.353873502994011</v>
      </c>
    </row>
    <row r="53" spans="1:9" ht="15.75" thickBot="1">
      <c r="A53" t="s">
        <v>27</v>
      </c>
      <c r="B53" s="11">
        <f>B9*VLOOKUP(B10,$J$29:$K$32,2,FALSE)</f>
        <v>169000</v>
      </c>
      <c r="D53" s="11">
        <f>D9*VLOOKUP(D10,$J$29:$K$32,2,FALSE)</f>
        <v>182000</v>
      </c>
      <c r="F53" s="11">
        <f>F9*VLOOKUP(F10,$J$29:$K$32,2,TRUE)</f>
        <v>20000</v>
      </c>
      <c r="H53" s="49">
        <f>SUM(B53:F53)</f>
        <v>371000</v>
      </c>
      <c r="I53" t="s">
        <v>32</v>
      </c>
    </row>
    <row r="58" ht="15.75" thickBot="1"/>
    <row r="59" spans="8:10" ht="18.75">
      <c r="H59" s="127" t="s">
        <v>50</v>
      </c>
      <c r="I59" s="128"/>
      <c r="J59" s="129"/>
    </row>
    <row r="60" spans="8:10" ht="15">
      <c r="H60" s="107">
        <f>VLOOKUP(H59,Technologies!$A$2:$F$10,2,FALSE)</f>
        <v>0.00068</v>
      </c>
      <c r="I60" s="108">
        <f>IF(OR(H59=Technologies!$A$6,H59=Technologies!$A$7,H59=Technologies!$A$8,H59=Technologies!$A$14),VLOOKUP(H59,Technologies!$A$2:$C$15,3,FALSE),B5)</f>
        <v>13</v>
      </c>
      <c r="J60" s="109"/>
    </row>
    <row r="61" spans="8:14" ht="15">
      <c r="H61" s="110">
        <f>(1-H60)*H40</f>
        <v>421076.9419319273</v>
      </c>
      <c r="I61" s="122" t="str">
        <f>I40</f>
        <v>Pounds Expended</v>
      </c>
      <c r="J61" s="123"/>
      <c r="N61" t="s">
        <v>169</v>
      </c>
    </row>
    <row r="62" spans="8:15" ht="15">
      <c r="H62" s="111"/>
      <c r="I62" s="108"/>
      <c r="J62" s="109"/>
      <c r="N62" t="s">
        <v>171</v>
      </c>
      <c r="O62" t="s">
        <v>172</v>
      </c>
    </row>
    <row r="63" spans="8:15" ht="15.75" thickBot="1">
      <c r="H63" s="113">
        <f>I60/K13*H61</f>
        <v>810962.9992763044</v>
      </c>
      <c r="I63" s="124" t="str">
        <f>I45</f>
        <v>$ Expended</v>
      </c>
      <c r="J63" s="125"/>
      <c r="M63" t="s">
        <v>80</v>
      </c>
      <c r="N63" s="114">
        <f>H40</f>
        <v>421363.4690909091</v>
      </c>
      <c r="O63" s="51">
        <f>H45</f>
        <v>811514.8293602692</v>
      </c>
    </row>
    <row r="64" spans="13:15" ht="15.75" thickBot="1">
      <c r="M64" t="str">
        <f>H59</f>
        <v>Composite</v>
      </c>
      <c r="N64" s="114">
        <f>H61</f>
        <v>421076.9419319273</v>
      </c>
      <c r="O64" s="51">
        <f>H63</f>
        <v>810962.9992763044</v>
      </c>
    </row>
    <row r="65" spans="8:15" ht="15">
      <c r="H65" s="119" t="str">
        <f>IF(H59=Technologies!$A$3,"Driveshaft Removal Not Applicable","Also Remove Driveshaft")</f>
        <v>Also Remove Driveshaft</v>
      </c>
      <c r="I65" s="120"/>
      <c r="J65" s="121"/>
      <c r="M65" t="s">
        <v>170</v>
      </c>
      <c r="N65" s="114">
        <f>H67</f>
        <v>420023.53325920005</v>
      </c>
      <c r="O65" s="52">
        <f>H69</f>
        <v>808934.2122029037</v>
      </c>
    </row>
    <row r="66" spans="8:10" ht="15">
      <c r="H66" s="107">
        <f>H60+Technologies!$E$18</f>
        <v>0.00318</v>
      </c>
      <c r="I66" s="108">
        <f>I60</f>
        <v>13</v>
      </c>
      <c r="J66" s="109"/>
    </row>
    <row r="67" spans="8:10" ht="15">
      <c r="H67" s="110">
        <f>(1-H66)*H40</f>
        <v>420023.53325920005</v>
      </c>
      <c r="I67" s="122" t="str">
        <f>I40</f>
        <v>Pounds Expended</v>
      </c>
      <c r="J67" s="123"/>
    </row>
    <row r="68" spans="8:10" ht="15">
      <c r="H68" s="111"/>
      <c r="I68" s="108"/>
      <c r="J68" s="109"/>
    </row>
    <row r="69" spans="8:10" ht="15.75" thickBot="1">
      <c r="H69" s="112">
        <f>I60/K13*H67</f>
        <v>808934.2122029037</v>
      </c>
      <c r="I69" s="124" t="str">
        <f>I45</f>
        <v>$ Expended</v>
      </c>
      <c r="J69" s="125"/>
    </row>
  </sheetData>
  <sheetProtection/>
  <mergeCells count="7">
    <mergeCell ref="H65:J65"/>
    <mergeCell ref="I67:J67"/>
    <mergeCell ref="I69:J69"/>
    <mergeCell ref="A1:Q1"/>
    <mergeCell ref="H59:J59"/>
    <mergeCell ref="I61:J61"/>
    <mergeCell ref="I63:J63"/>
  </mergeCells>
  <dataValidations count="5">
    <dataValidation type="list" allowBlank="1" showInputMessage="1" showErrorMessage="1" sqref="D8 B8 F8">
      <formula1>Location</formula1>
    </dataValidation>
    <dataValidation type="list" allowBlank="1" showInputMessage="1" showErrorMessage="1" sqref="D6:D7 B6:B7 F6:F7">
      <formula1>Unit</formula1>
    </dataValidation>
    <dataValidation type="list" allowBlank="1" showInputMessage="1" showErrorMessage="1" sqref="D3 B3 F3">
      <formula1>Aircraft_Type</formula1>
    </dataValidation>
    <dataValidation type="list" allowBlank="1" showInputMessage="1" showErrorMessage="1" sqref="B16 B26 B10 D16 D26 D10 F16 F26 F10">
      <formula1>Lift</formula1>
    </dataValidation>
    <dataValidation type="list" allowBlank="1" showInputMessage="1" showErrorMessage="1" sqref="H59">
      <formula1>Technologies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="70" zoomScaleNormal="70" zoomScalePageLayoutView="70" workbookViewId="0" topLeftCell="A1">
      <selection activeCell="H38" sqref="H38"/>
    </sheetView>
  </sheetViews>
  <sheetFormatPr defaultColWidth="8.8515625" defaultRowHeight="15"/>
  <cols>
    <col min="1" max="1" width="30.421875" style="0" customWidth="1"/>
    <col min="2" max="2" width="12.421875" style="11" customWidth="1"/>
    <col min="3" max="3" width="7.421875" style="0" customWidth="1"/>
    <col min="4" max="4" width="12.421875" style="11" customWidth="1"/>
    <col min="5" max="5" width="5.421875" style="0" customWidth="1"/>
    <col min="6" max="6" width="12.421875" style="11" customWidth="1"/>
    <col min="7" max="7" width="3.7109375" style="0" customWidth="1"/>
    <col min="8" max="8" width="14.28125" style="23" customWidth="1"/>
    <col min="9" max="9" width="16.7109375" style="0" customWidth="1"/>
    <col min="10" max="10" width="25.140625" style="0" customWidth="1"/>
    <col min="11" max="11" width="10.421875" style="1" customWidth="1"/>
    <col min="12" max="12" width="8.8515625" style="0" customWidth="1"/>
    <col min="13" max="13" width="25.140625" style="0" customWidth="1"/>
    <col min="14" max="14" width="10.421875" style="1" customWidth="1"/>
    <col min="15" max="15" width="8.8515625" style="0" customWidth="1"/>
    <col min="16" max="16" width="25.140625" style="0" customWidth="1"/>
    <col min="17" max="17" width="10.421875" style="1" customWidth="1"/>
  </cols>
  <sheetData>
    <row r="1" spans="1:17" ht="18.75">
      <c r="A1" s="126" t="s">
        <v>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ht="15.75" thickBot="1"/>
    <row r="3" spans="1:17" ht="15.75" thickBot="1">
      <c r="A3" t="s">
        <v>108</v>
      </c>
      <c r="B3" s="100" t="s">
        <v>101</v>
      </c>
      <c r="D3" s="100" t="s">
        <v>85</v>
      </c>
      <c r="F3" s="100" t="s">
        <v>102</v>
      </c>
      <c r="J3" t="s">
        <v>109</v>
      </c>
      <c r="K3" s="1" t="str">
        <f>B3</f>
        <v>UH-60A</v>
      </c>
      <c r="M3" t="s">
        <v>109</v>
      </c>
      <c r="N3" s="1" t="str">
        <f>D3</f>
        <v>UH-60L</v>
      </c>
      <c r="P3" t="s">
        <v>109</v>
      </c>
      <c r="Q3" s="1" t="str">
        <f>F3</f>
        <v>UH-60M</v>
      </c>
    </row>
    <row r="4" spans="10:17" ht="15.75" thickBot="1">
      <c r="J4" s="7" t="s">
        <v>87</v>
      </c>
      <c r="K4" s="56" t="str">
        <f>HLOOKUP(B3,Reference!$B$2:$L$13,2,FALSE)</f>
        <v>Movement/Assault</v>
      </c>
      <c r="M4" s="7" t="s">
        <v>87</v>
      </c>
      <c r="N4" s="56" t="str">
        <f>HLOOKUP($D$3,Reference!$B$2:$L$13,2,FALSE)</f>
        <v>Movement/Assault</v>
      </c>
      <c r="P4" s="7" t="s">
        <v>87</v>
      </c>
      <c r="Q4" s="56" t="str">
        <f>HLOOKUP(F3,Reference!$B$2:$L$13,2,FALSE)</f>
        <v>Movement/Assault</v>
      </c>
    </row>
    <row r="5" spans="1:17" ht="15.75" thickBot="1">
      <c r="A5" t="s">
        <v>137</v>
      </c>
      <c r="B5" s="101">
        <v>13</v>
      </c>
      <c r="D5" s="22">
        <v>13</v>
      </c>
      <c r="F5" s="22">
        <v>13</v>
      </c>
      <c r="J5" s="7" t="s">
        <v>94</v>
      </c>
      <c r="K5" s="8">
        <f>HLOOKUP(B3,Reference!B2:L13,3,FALSE)</f>
        <v>11284</v>
      </c>
      <c r="M5" s="7" t="s">
        <v>94</v>
      </c>
      <c r="N5" s="56">
        <f>HLOOKUP($D$3,Reference!$B$2:$L$13,3,FALSE)</f>
        <v>11516</v>
      </c>
      <c r="P5" s="7" t="s">
        <v>94</v>
      </c>
      <c r="Q5" s="56">
        <f>HLOOKUP(F3,Reference!$B$2:$L$13,3,FALSE)</f>
        <v>0</v>
      </c>
    </row>
    <row r="6" spans="1:17" ht="15.75" thickBot="1">
      <c r="A6" t="s">
        <v>111</v>
      </c>
      <c r="B6" s="12" t="s">
        <v>122</v>
      </c>
      <c r="D6" s="21" t="s">
        <v>122</v>
      </c>
      <c r="F6" s="21" t="s">
        <v>122</v>
      </c>
      <c r="J6" s="7" t="s">
        <v>95</v>
      </c>
      <c r="K6" s="8">
        <f>HLOOKUP(B3,Reference!B2:L13,4,FALSE)</f>
        <v>22000</v>
      </c>
      <c r="M6" s="7" t="s">
        <v>95</v>
      </c>
      <c r="N6" s="56">
        <f>HLOOKUP($D$3,Reference!$B$2:$L$13,4,FALSE)</f>
        <v>0</v>
      </c>
      <c r="P6" s="7" t="s">
        <v>95</v>
      </c>
      <c r="Q6" s="56">
        <f>HLOOKUP(F3,Reference!$B$2:$L$13,4,FALSE)</f>
        <v>0</v>
      </c>
    </row>
    <row r="7" spans="2:17" ht="15.75" thickBot="1">
      <c r="B7" s="13"/>
      <c r="D7" s="13"/>
      <c r="F7" s="13"/>
      <c r="J7" s="7" t="s">
        <v>103</v>
      </c>
      <c r="K7" s="8">
        <f>HLOOKUP(B3,Reference!B2:L13,5,FALSE)</f>
        <v>11</v>
      </c>
      <c r="M7" s="7" t="s">
        <v>103</v>
      </c>
      <c r="N7" s="56">
        <f>HLOOKUP($D$3,Reference!$B$2:$L$13,5,FALSE)</f>
        <v>11</v>
      </c>
      <c r="P7" s="7" t="s">
        <v>103</v>
      </c>
      <c r="Q7" s="56">
        <f>HLOOKUP(F3,Reference!$B$2:$L$13,5,FALSE)</f>
        <v>11</v>
      </c>
    </row>
    <row r="8" spans="1:17" ht="15.75" thickBot="1">
      <c r="A8" t="s">
        <v>124</v>
      </c>
      <c r="B8" s="100" t="s">
        <v>132</v>
      </c>
      <c r="D8" s="100" t="s">
        <v>132</v>
      </c>
      <c r="F8" s="100" t="s">
        <v>132</v>
      </c>
      <c r="J8" s="7" t="s">
        <v>100</v>
      </c>
      <c r="K8" s="8">
        <f>HLOOKUP(B3,Reference!B2:L13,6,FALSE)</f>
        <v>2430</v>
      </c>
      <c r="M8" s="7" t="s">
        <v>100</v>
      </c>
      <c r="N8" s="56">
        <f>HLOOKUP($D$3,Reference!$B$2:$L$13,6,FALSE)</f>
        <v>2430</v>
      </c>
      <c r="P8" s="7" t="s">
        <v>100</v>
      </c>
      <c r="Q8" s="56">
        <f>HLOOKUP(F3,Reference!$B$2:$L$13,6,FALSE)</f>
        <v>2430</v>
      </c>
    </row>
    <row r="9" spans="1:17" ht="15.75" thickBot="1">
      <c r="A9" t="s">
        <v>123</v>
      </c>
      <c r="B9" s="100">
        <v>15</v>
      </c>
      <c r="D9" s="100">
        <v>0</v>
      </c>
      <c r="F9" s="100">
        <v>0</v>
      </c>
      <c r="J9" s="9" t="s">
        <v>106</v>
      </c>
      <c r="K9" s="10">
        <f>HLOOKUP(B3,Reference!B2:L13,7,FALSE)</f>
        <v>2.5</v>
      </c>
      <c r="M9" s="9" t="s">
        <v>106</v>
      </c>
      <c r="N9" s="56">
        <f>HLOOKUP($D$3,Reference!$B$2:$L$13,7,FALSE)</f>
        <v>2.5</v>
      </c>
      <c r="P9" s="9" t="s">
        <v>106</v>
      </c>
      <c r="Q9" s="56">
        <f>HLOOKUP(F3,Reference!$B$2:$L$13,7,FALSE)</f>
        <v>2.5</v>
      </c>
    </row>
    <row r="10" spans="1:17" ht="15.75" thickBot="1">
      <c r="A10" t="s">
        <v>20</v>
      </c>
      <c r="B10" s="100" t="s">
        <v>34</v>
      </c>
      <c r="D10" s="100" t="s">
        <v>91</v>
      </c>
      <c r="F10" s="100" t="s">
        <v>35</v>
      </c>
      <c r="J10" s="9" t="s">
        <v>107</v>
      </c>
      <c r="K10" s="8">
        <f>HLOOKUP(B3,Reference!B2:L13,8,FALSE)</f>
        <v>319</v>
      </c>
      <c r="M10" s="9" t="s">
        <v>107</v>
      </c>
      <c r="N10" s="56">
        <f>HLOOKUP($D$3,Reference!$B$2:$L$13,8,FALSE)</f>
        <v>319</v>
      </c>
      <c r="P10" s="9" t="s">
        <v>107</v>
      </c>
      <c r="Q10" s="56">
        <f>HLOOKUP(F3,Reference!$B$2:$L$13,8,FALSE)</f>
        <v>319</v>
      </c>
    </row>
    <row r="11" spans="1:17" ht="15.75" thickBot="1">
      <c r="A11" t="s">
        <v>38</v>
      </c>
      <c r="B11" s="100">
        <v>370</v>
      </c>
      <c r="D11" s="100">
        <v>370</v>
      </c>
      <c r="F11" s="100">
        <v>370</v>
      </c>
      <c r="J11" s="7" t="s">
        <v>96</v>
      </c>
      <c r="K11" s="8">
        <f>HLOOKUP(B3,Reference!B2:L13,9,FALSE)</f>
        <v>139</v>
      </c>
      <c r="M11" s="7" t="s">
        <v>96</v>
      </c>
      <c r="N11" s="56">
        <f>HLOOKUP($D$3,Reference!$B$2:$L$13,9,FALSE)</f>
        <v>139</v>
      </c>
      <c r="P11" s="7" t="s">
        <v>96</v>
      </c>
      <c r="Q11" s="56">
        <f>HLOOKUP(F3,Reference!$B$2:$L$13,9,FALSE)</f>
        <v>139</v>
      </c>
    </row>
    <row r="12" spans="1:17" ht="15.75" thickBot="1">
      <c r="A12" t="s">
        <v>135</v>
      </c>
      <c r="B12" s="102">
        <v>0.1</v>
      </c>
      <c r="D12" s="102">
        <v>0.1</v>
      </c>
      <c r="F12" s="102">
        <v>0.1</v>
      </c>
      <c r="J12" s="7" t="s">
        <v>97</v>
      </c>
      <c r="K12" s="8">
        <f>HLOOKUP(B3,Reference!B2:L13,10,FALSE)</f>
        <v>1081</v>
      </c>
      <c r="M12" s="7" t="s">
        <v>97</v>
      </c>
      <c r="N12" s="56">
        <f>HLOOKUP($D$3,Reference!$B$2:$L$13,10,FALSE)</f>
        <v>1081</v>
      </c>
      <c r="P12" s="7" t="s">
        <v>97</v>
      </c>
      <c r="Q12" s="56">
        <f>HLOOKUP(F3,Reference!$B$2:$L$13,10,FALSE)</f>
        <v>1152</v>
      </c>
    </row>
    <row r="13" spans="1:17" ht="15.75" thickBot="1">
      <c r="A13" t="s">
        <v>0</v>
      </c>
      <c r="B13" s="100">
        <v>0.5</v>
      </c>
      <c r="D13" s="100">
        <v>0.5</v>
      </c>
      <c r="F13" s="100">
        <v>0.5</v>
      </c>
      <c r="J13" s="7" t="s">
        <v>98</v>
      </c>
      <c r="K13" s="8">
        <f>HLOOKUP(B3,Reference!B2:L13,11,FALSE)</f>
        <v>6.75</v>
      </c>
      <c r="M13" s="7" t="s">
        <v>98</v>
      </c>
      <c r="N13" s="56">
        <f>HLOOKUP($D$3,Reference!$B$2:$L$13,11,FALSE)</f>
        <v>6.75</v>
      </c>
      <c r="P13" s="7" t="s">
        <v>98</v>
      </c>
      <c r="Q13" s="56">
        <f>HLOOKUP(F3,Reference!$B$2:$L$13,11,FALSE)</f>
        <v>6.75</v>
      </c>
    </row>
    <row r="14" spans="2:17" ht="33.75" customHeight="1">
      <c r="B14" s="13"/>
      <c r="D14" s="13"/>
      <c r="F14" s="13"/>
      <c r="J14" s="7" t="s">
        <v>104</v>
      </c>
      <c r="K14" s="8" t="str">
        <f>HLOOKUP(B3,Reference!B2:L13,12,FALSE)</f>
        <v>Sea Level</v>
      </c>
      <c r="M14" s="7" t="s">
        <v>104</v>
      </c>
      <c r="N14" s="56" t="str">
        <f>HLOOKUP($D$3,Reference!$B$2:$L$13,12,FALSE)</f>
        <v>Sea Level</v>
      </c>
      <c r="P14" s="7" t="s">
        <v>104</v>
      </c>
      <c r="Q14" s="56" t="str">
        <f>HLOOKUP(F3,Reference!$B$2:$L$13,12,FALSE)</f>
        <v>Sea Level</v>
      </c>
    </row>
    <row r="15" spans="1:6" ht="15.75" thickBot="1">
      <c r="A15" t="s">
        <v>22</v>
      </c>
      <c r="B15" s="13"/>
      <c r="D15" s="13"/>
      <c r="F15" s="13"/>
    </row>
    <row r="16" spans="1:17" ht="15.75" thickBot="1">
      <c r="A16" s="35" t="s">
        <v>8</v>
      </c>
      <c r="B16" s="36" t="s">
        <v>34</v>
      </c>
      <c r="C16" s="37"/>
      <c r="D16" s="36" t="s">
        <v>7</v>
      </c>
      <c r="E16" s="37"/>
      <c r="F16" s="36" t="s">
        <v>33</v>
      </c>
      <c r="G16" s="37"/>
      <c r="H16" s="38"/>
      <c r="K16"/>
      <c r="N16"/>
      <c r="Q16"/>
    </row>
    <row r="17" spans="1:17" ht="15.75" thickBot="1">
      <c r="A17" s="39" t="s">
        <v>11</v>
      </c>
      <c r="B17" s="36">
        <f>$K$11</f>
        <v>139</v>
      </c>
      <c r="C17" s="40"/>
      <c r="D17" s="36">
        <f>N11</f>
        <v>139</v>
      </c>
      <c r="E17" s="40"/>
      <c r="F17" s="36">
        <f>$K$11</f>
        <v>139</v>
      </c>
      <c r="G17" s="40"/>
      <c r="H17" s="41"/>
      <c r="K17"/>
      <c r="N17"/>
      <c r="Q17"/>
    </row>
    <row r="18" spans="1:17" ht="15">
      <c r="A18" s="39" t="s">
        <v>15</v>
      </c>
      <c r="B18" s="42">
        <f>IF(B$6="Gallons",B$11/B17*$K$12/$K$13,B$11/B17*$K$12)</f>
        <v>2877.482014388489</v>
      </c>
      <c r="C18" s="42"/>
      <c r="D18" s="42">
        <f>IF(D$6="Gallons",D$11/D17*$K$12/$K$13,D$11/D17*$K$12)</f>
        <v>2877.482014388489</v>
      </c>
      <c r="E18" s="42"/>
      <c r="F18" s="42">
        <f>IF(F$6="Gallons",F$11/F17*$K$12/$K$13,F$11/F17*$K$12)</f>
        <v>2877.482014388489</v>
      </c>
      <c r="G18" s="40"/>
      <c r="H18" s="41"/>
      <c r="K18"/>
      <c r="N18"/>
      <c r="Q18"/>
    </row>
    <row r="19" spans="1:17" ht="15">
      <c r="A19" s="43" t="s">
        <v>112</v>
      </c>
      <c r="B19" s="34">
        <f>IF(B6="Gallons",$K$12/$K$13/B17,$K$12/B17)</f>
        <v>7.776978417266187</v>
      </c>
      <c r="C19" s="34"/>
      <c r="D19" s="34">
        <f>IF(D6="Gallons",$K$12/$K$13/D17,$K$12/D17)</f>
        <v>7.776978417266187</v>
      </c>
      <c r="E19" s="34"/>
      <c r="F19" s="34">
        <f>IF(F6="Gallons",$K$12/$K$13/F17,$K$12/F17)</f>
        <v>7.776978417266187</v>
      </c>
      <c r="G19" s="40"/>
      <c r="H19" s="41"/>
      <c r="K19"/>
      <c r="N19"/>
      <c r="Q19"/>
    </row>
    <row r="20" spans="1:17" ht="15">
      <c r="A20" s="43" t="s">
        <v>113</v>
      </c>
      <c r="B20" s="34">
        <f>$K$12</f>
        <v>1081</v>
      </c>
      <c r="C20" s="34"/>
      <c r="D20" s="34">
        <f>$K$12</f>
        <v>1081</v>
      </c>
      <c r="E20" s="34"/>
      <c r="F20" s="34">
        <f>$K$12</f>
        <v>1081</v>
      </c>
      <c r="G20" s="40"/>
      <c r="H20" s="41"/>
      <c r="K20"/>
      <c r="N20"/>
      <c r="Q20"/>
    </row>
    <row r="21" spans="1:17" ht="15">
      <c r="A21" s="39" t="s">
        <v>16</v>
      </c>
      <c r="B21" s="42">
        <f>B$11/B17</f>
        <v>2.661870503597122</v>
      </c>
      <c r="C21" s="42"/>
      <c r="D21" s="42">
        <f>D$11/D17</f>
        <v>2.661870503597122</v>
      </c>
      <c r="E21" s="42"/>
      <c r="F21" s="42">
        <f>F$11/F17</f>
        <v>2.661870503597122</v>
      </c>
      <c r="G21" s="40"/>
      <c r="H21" s="41"/>
      <c r="K21"/>
      <c r="N21"/>
      <c r="Q21"/>
    </row>
    <row r="22" spans="1:17" ht="15">
      <c r="A22" s="39" t="s">
        <v>138</v>
      </c>
      <c r="B22" s="42">
        <f>IF(B23&gt;($B$21+B30),"N/A",$B$13)</f>
        <v>0.5</v>
      </c>
      <c r="C22" s="42"/>
      <c r="D22" s="42">
        <f>IF(D23&gt;($B$21+D30),"N/A",$B$13)</f>
        <v>0.5</v>
      </c>
      <c r="E22" s="42"/>
      <c r="F22" s="42">
        <f>IF(F23&gt;($B$21+F30),"N/A",$B$13)</f>
        <v>0.5</v>
      </c>
      <c r="G22" s="40"/>
      <c r="H22" s="41"/>
      <c r="K22"/>
      <c r="N22"/>
      <c r="Q22"/>
    </row>
    <row r="23" spans="1:17" ht="15">
      <c r="A23" s="39" t="s">
        <v>120</v>
      </c>
      <c r="B23" s="42">
        <f>$K$8*(1-B12)/$K$12</f>
        <v>2.023126734505088</v>
      </c>
      <c r="C23" s="42"/>
      <c r="D23" s="42">
        <f>$K$8*(1-D12)/$K$12</f>
        <v>2.023126734505088</v>
      </c>
      <c r="E23" s="42"/>
      <c r="F23" s="42">
        <f>$K$8*(1-F12)/$K$12</f>
        <v>2.023126734505088</v>
      </c>
      <c r="G23" s="40"/>
      <c r="H23" s="41"/>
      <c r="K23"/>
      <c r="N23"/>
      <c r="Q23"/>
    </row>
    <row r="24" spans="1:17" ht="15.75" thickBot="1">
      <c r="A24" s="43"/>
      <c r="B24" s="44"/>
      <c r="C24" s="40"/>
      <c r="D24" s="44"/>
      <c r="E24" s="40"/>
      <c r="F24" s="44"/>
      <c r="G24" s="40"/>
      <c r="H24" s="41"/>
      <c r="K24"/>
      <c r="N24"/>
      <c r="Q24"/>
    </row>
    <row r="25" spans="1:17" ht="15.75" thickBot="1">
      <c r="A25" s="39" t="s">
        <v>9</v>
      </c>
      <c r="B25" s="36" t="s">
        <v>10</v>
      </c>
      <c r="C25" s="40"/>
      <c r="D25" s="36" t="s">
        <v>10</v>
      </c>
      <c r="E25" s="40"/>
      <c r="F25" s="36" t="s">
        <v>10</v>
      </c>
      <c r="G25" s="40"/>
      <c r="H25" s="41"/>
      <c r="K25"/>
      <c r="N25"/>
      <c r="Q25"/>
    </row>
    <row r="26" spans="1:17" ht="15.75" thickBot="1">
      <c r="A26" s="39" t="s">
        <v>12</v>
      </c>
      <c r="B26" s="36">
        <f>$K$11</f>
        <v>139</v>
      </c>
      <c r="C26" s="40"/>
      <c r="D26" s="36">
        <f>$K$11</f>
        <v>139</v>
      </c>
      <c r="E26" s="40"/>
      <c r="F26" s="36">
        <f>$K$11</f>
        <v>139</v>
      </c>
      <c r="G26" s="40"/>
      <c r="H26" s="41"/>
      <c r="K26"/>
      <c r="N26"/>
      <c r="Q26"/>
    </row>
    <row r="27" spans="1:17" ht="15">
      <c r="A27" s="39" t="s">
        <v>17</v>
      </c>
      <c r="B27" s="42">
        <f>IF(B$6="Gallons",B$11/B26*$K$12/$K$13,B$11/B26*$K$12)</f>
        <v>2877.482014388489</v>
      </c>
      <c r="C27" s="42"/>
      <c r="D27" s="42">
        <f>IF(D$6="Gallons",D$11/D26*$K$12/$K$13,D$11/D26*$K$12)</f>
        <v>2877.482014388489</v>
      </c>
      <c r="E27" s="42"/>
      <c r="F27" s="42">
        <f>IF(F$6="Gallons",F$11/F26*$K$12/$K$13,F$11/F26*$K$12)</f>
        <v>2877.482014388489</v>
      </c>
      <c r="G27" s="40"/>
      <c r="H27" s="41"/>
      <c r="K27"/>
      <c r="N27"/>
      <c r="Q27"/>
    </row>
    <row r="28" spans="1:17" ht="15">
      <c r="A28" s="43" t="s">
        <v>112</v>
      </c>
      <c r="B28" s="34">
        <f>IF(B16="Gallons",$K$12/$K$13/B26,$K$12/B26)</f>
        <v>7.776978417266187</v>
      </c>
      <c r="C28" s="34"/>
      <c r="D28" s="34">
        <f>IF(D16="Gallons",$K$12/$K$13/D26,$K$12/D26)</f>
        <v>7.776978417266187</v>
      </c>
      <c r="E28" s="34"/>
      <c r="F28" s="34">
        <f>IF(F16="Gallons",$K$12/$K$13/F26,$K$12/F26)</f>
        <v>7.776978417266187</v>
      </c>
      <c r="G28" s="40"/>
      <c r="H28" s="41"/>
      <c r="K28"/>
      <c r="N28"/>
      <c r="Q28"/>
    </row>
    <row r="29" spans="1:17" ht="15">
      <c r="A29" s="43" t="s">
        <v>113</v>
      </c>
      <c r="B29" s="34">
        <f>$K$12</f>
        <v>1081</v>
      </c>
      <c r="C29" s="34"/>
      <c r="D29" s="34">
        <f>$K$12</f>
        <v>1081</v>
      </c>
      <c r="E29" s="34"/>
      <c r="F29" s="34">
        <f>$K$12</f>
        <v>1081</v>
      </c>
      <c r="G29" s="40"/>
      <c r="H29" s="41"/>
      <c r="K29"/>
      <c r="N29"/>
      <c r="Q29"/>
    </row>
    <row r="30" spans="1:17" ht="15">
      <c r="A30" s="39" t="s">
        <v>18</v>
      </c>
      <c r="B30" s="42">
        <f>B$11/B26</f>
        <v>2.661870503597122</v>
      </c>
      <c r="C30" s="42"/>
      <c r="D30" s="42">
        <f>D$11/D26</f>
        <v>2.661870503597122</v>
      </c>
      <c r="E30" s="42"/>
      <c r="F30" s="42">
        <f>F$11/F26</f>
        <v>2.661870503597122</v>
      </c>
      <c r="G30" s="40"/>
      <c r="H30" s="41"/>
      <c r="K30"/>
      <c r="N30"/>
      <c r="Q30"/>
    </row>
    <row r="31" spans="1:17" ht="15">
      <c r="A31" s="39" t="s">
        <v>138</v>
      </c>
      <c r="B31" s="42">
        <f>IF(B32&gt;B30,0,B13)</f>
        <v>0.5</v>
      </c>
      <c r="C31" s="42"/>
      <c r="D31" s="42">
        <f>IF(D32&gt;D30,0,D13)</f>
        <v>0.5</v>
      </c>
      <c r="E31" s="42"/>
      <c r="F31" s="42">
        <f>IF(F32&gt;F30,0,F13)</f>
        <v>0.5</v>
      </c>
      <c r="G31" s="40"/>
      <c r="H31" s="41"/>
      <c r="K31"/>
      <c r="N31"/>
      <c r="Q31"/>
    </row>
    <row r="32" spans="1:17" ht="15.75" thickBot="1">
      <c r="A32" s="45" t="s">
        <v>120</v>
      </c>
      <c r="B32" s="46">
        <f>$K$8*(1-B12)/$K$12</f>
        <v>2.023126734505088</v>
      </c>
      <c r="C32" s="46"/>
      <c r="D32" s="46">
        <f>$K$8*(1-D12)/$K$12</f>
        <v>2.023126734505088</v>
      </c>
      <c r="E32" s="46"/>
      <c r="F32" s="46">
        <f>$K$8*(1-F12)/$K$12</f>
        <v>2.023126734505088</v>
      </c>
      <c r="G32" s="47"/>
      <c r="H32" s="48"/>
      <c r="K32"/>
      <c r="N32"/>
      <c r="Q32"/>
    </row>
    <row r="33" spans="1:6" ht="15">
      <c r="A33" s="6"/>
      <c r="B33" s="13"/>
      <c r="D33" s="13"/>
      <c r="F33" s="13"/>
    </row>
    <row r="34" spans="1:6" ht="15">
      <c r="A34" s="6"/>
      <c r="B34" s="13"/>
      <c r="D34" s="13"/>
      <c r="F34" s="13"/>
    </row>
    <row r="35" spans="1:6" ht="15">
      <c r="A35" s="6"/>
      <c r="B35" s="13"/>
      <c r="D35" s="13"/>
      <c r="F35" s="13"/>
    </row>
    <row r="36" spans="1:6" ht="15.75" thickBot="1">
      <c r="A36" s="6"/>
      <c r="B36" s="13"/>
      <c r="D36" s="13"/>
      <c r="F36" s="13"/>
    </row>
    <row r="37" ht="15.75" thickBot="1">
      <c r="H37" s="24"/>
    </row>
    <row r="38" spans="1:9" ht="15.75" thickBot="1">
      <c r="A38" t="s">
        <v>110</v>
      </c>
      <c r="B38" s="14">
        <f>(B18+B27)*B9</f>
        <v>86324.46043165468</v>
      </c>
      <c r="D38" s="14">
        <f>(D18+D27)*D9</f>
        <v>0</v>
      </c>
      <c r="F38" s="14">
        <f>(F18+F27)*F9</f>
        <v>0</v>
      </c>
      <c r="H38" s="49">
        <f>SUM(B38:F38)</f>
        <v>86324.46043165468</v>
      </c>
      <c r="I38" t="str">
        <f>IF($B$6="Gallons","Gallons Expended","Pounds Expended")</f>
        <v>Pounds Expended</v>
      </c>
    </row>
    <row r="39" spans="1:8" ht="15">
      <c r="A39" s="6" t="s">
        <v>24</v>
      </c>
      <c r="B39" s="18">
        <f>AVERAGE(B19,B28)</f>
        <v>7.776978417266187</v>
      </c>
      <c r="C39" s="17"/>
      <c r="D39" s="18">
        <f>AVERAGE(D19,D28)</f>
        <v>7.776978417266187</v>
      </c>
      <c r="E39" s="17"/>
      <c r="F39" s="18">
        <f>AVERAGE(F19,F28)</f>
        <v>7.776978417266187</v>
      </c>
      <c r="H39" s="26"/>
    </row>
    <row r="40" spans="1:8" ht="15">
      <c r="A40" s="6" t="s">
        <v>25</v>
      </c>
      <c r="B40" s="18">
        <f>AVERAGE(B20,B29)</f>
        <v>1081</v>
      </c>
      <c r="C40" s="19"/>
      <c r="D40" s="18">
        <f>AVERAGE(D20,D29)</f>
        <v>1081</v>
      </c>
      <c r="E40" s="19"/>
      <c r="F40" s="18">
        <f>AVERAGE(F20,F29)</f>
        <v>1081</v>
      </c>
      <c r="H40" s="26"/>
    </row>
    <row r="41" spans="1:8" ht="15">
      <c r="A41" s="6" t="s">
        <v>26</v>
      </c>
      <c r="B41" s="18"/>
      <c r="C41" s="17"/>
      <c r="D41" s="18"/>
      <c r="E41" s="17"/>
      <c r="F41" s="18"/>
      <c r="H41" s="26"/>
    </row>
    <row r="42" ht="15.75" thickBot="1">
      <c r="H42" s="26"/>
    </row>
    <row r="43" spans="1:9" ht="15.75" thickBot="1">
      <c r="A43" t="s">
        <v>115</v>
      </c>
      <c r="B43" s="55">
        <f>IF($B$6="Gallons",B38*$B$5,$B$5/$K$13*B38)</f>
        <v>166254.51638689046</v>
      </c>
      <c r="C43" s="51"/>
      <c r="D43" s="55">
        <f>IF($B$6="Gallons",D38*$B$5,$B$5/$K$13*D38)</f>
        <v>0</v>
      </c>
      <c r="E43" s="51"/>
      <c r="F43" s="55">
        <f>IF($B$6="Gallons",F38*$B$5,$B$5/$K$13*F38)</f>
        <v>0</v>
      </c>
      <c r="H43" s="27">
        <f>SUM(B43:F43)</f>
        <v>166254.51638689046</v>
      </c>
      <c r="I43" t="s">
        <v>2</v>
      </c>
    </row>
    <row r="44" spans="1:8" ht="15">
      <c r="A44" s="6" t="s">
        <v>28</v>
      </c>
      <c r="B44" s="53">
        <f>B43/(B11*B9)</f>
        <v>29.95576871835864</v>
      </c>
      <c r="C44" s="54"/>
      <c r="D44" s="53" t="e">
        <f>D43/(D11*D9)</f>
        <v>#DIV/0!</v>
      </c>
      <c r="E44" s="54"/>
      <c r="F44" s="53" t="e">
        <f>F43/(F11*F9)</f>
        <v>#DIV/0!</v>
      </c>
      <c r="H44" s="26"/>
    </row>
    <row r="45" spans="1:8" ht="15">
      <c r="A45" s="6" t="s">
        <v>29</v>
      </c>
      <c r="B45" s="53">
        <f>IF($B$6="Gallons",B40*B5,B40*B5/$K$13)</f>
        <v>2081.925925925926</v>
      </c>
      <c r="C45" s="54"/>
      <c r="D45" s="53">
        <f>IF($B$6="Gallons",D40*D5,D40*D5/$K$13)</f>
        <v>2081.925925925926</v>
      </c>
      <c r="E45" s="54"/>
      <c r="F45" s="53">
        <f>IF($B$6="Gallons",F40*F5,F40*F5/$K$13)</f>
        <v>2081.925925925926</v>
      </c>
      <c r="H45" s="26"/>
    </row>
    <row r="46" spans="1:8" ht="15">
      <c r="A46" s="6" t="s">
        <v>30</v>
      </c>
      <c r="B46" s="50"/>
      <c r="C46" s="54"/>
      <c r="D46" s="50"/>
      <c r="E46" s="54"/>
      <c r="F46" s="50"/>
      <c r="H46" s="26"/>
    </row>
    <row r="47" ht="15.75" thickBot="1">
      <c r="H47" s="26"/>
    </row>
    <row r="48" spans="1:9" ht="15.75" thickBot="1">
      <c r="A48" t="s">
        <v>119</v>
      </c>
      <c r="B48" s="14">
        <f>B21+B30+B22+B31</f>
        <v>6.323741007194244</v>
      </c>
      <c r="D48" s="14">
        <f>D21+D30+D22+D31</f>
        <v>6.323741007194244</v>
      </c>
      <c r="F48" s="14">
        <f>F21+F30+F22+F31</f>
        <v>6.323741007194244</v>
      </c>
      <c r="H48" s="25">
        <f>SUM(B48:F48)</f>
        <v>18.971223021582734</v>
      </c>
      <c r="I48" t="s">
        <v>3</v>
      </c>
    </row>
    <row r="49" spans="1:9" ht="15.75" thickBot="1">
      <c r="A49" t="s">
        <v>138</v>
      </c>
      <c r="B49" s="14">
        <f>IF(B22="N/A","N/A",B22+B31)*B9</f>
        <v>15</v>
      </c>
      <c r="C49" s="15"/>
      <c r="D49" s="14">
        <f>IF(D22="N/A","N/A",D22)*D9</f>
        <v>0</v>
      </c>
      <c r="E49" s="15"/>
      <c r="F49" s="14">
        <f>IF(F22="N/A","N/A",F22)*F9</f>
        <v>0</v>
      </c>
      <c r="H49" s="25">
        <f>SUM(B49:F49)</f>
        <v>15</v>
      </c>
      <c r="I49" t="s">
        <v>4</v>
      </c>
    </row>
    <row r="50" spans="1:8" ht="15.75" thickBot="1">
      <c r="A50" t="s">
        <v>120</v>
      </c>
      <c r="B50" s="14">
        <f>K8*(1-F12)/K12</f>
        <v>2.023126734505088</v>
      </c>
      <c r="D50" s="14">
        <f>D32</f>
        <v>2.023126734505088</v>
      </c>
      <c r="F50" s="14">
        <f>F32</f>
        <v>2.023126734505088</v>
      </c>
      <c r="H50" s="25">
        <f>SUM(B50:F50)</f>
        <v>6.069380203515264</v>
      </c>
    </row>
    <row r="51" spans="1:9" ht="15.75" thickBot="1">
      <c r="A51" t="s">
        <v>27</v>
      </c>
      <c r="B51" s="11">
        <f>B9*K7</f>
        <v>165</v>
      </c>
      <c r="D51" s="11">
        <f>D9*N7</f>
        <v>0</v>
      </c>
      <c r="F51" s="11">
        <f>F9*Q7</f>
        <v>0</v>
      </c>
      <c r="H51" s="49">
        <f>SUM(B51:F51)</f>
        <v>165</v>
      </c>
      <c r="I51" t="s">
        <v>40</v>
      </c>
    </row>
    <row r="54" ht="15.75" thickBot="1"/>
    <row r="55" spans="8:14" ht="18.75">
      <c r="H55" s="127" t="s">
        <v>144</v>
      </c>
      <c r="I55" s="128"/>
      <c r="J55" s="129"/>
      <c r="N55"/>
    </row>
    <row r="56" spans="8:14" ht="15">
      <c r="H56" s="107">
        <f>VLOOKUP(H55,Technologies!$A$2:$F$10,2,FALSE)</f>
        <v>0.05068</v>
      </c>
      <c r="I56" s="108">
        <f>IF(OR(H55=Technologies!$A$6,H55=Technologies!$A$7,H55=Technologies!$A$8,H55=Technologies!$A$14),VLOOKUP(H55,Technologies!$A$2:$C$15,3,FALSE),$B$5)</f>
        <v>3</v>
      </c>
      <c r="J56" s="109"/>
      <c r="N56"/>
    </row>
    <row r="57" spans="8:14" ht="15">
      <c r="H57" s="110">
        <f>(1-H56)*H38</f>
        <v>81949.5367769784</v>
      </c>
      <c r="I57" s="122" t="str">
        <f>I38</f>
        <v>Pounds Expended</v>
      </c>
      <c r="J57" s="123"/>
      <c r="N57" t="s">
        <v>169</v>
      </c>
    </row>
    <row r="58" spans="8:15" ht="15">
      <c r="H58" s="111"/>
      <c r="I58" s="108"/>
      <c r="J58" s="109"/>
      <c r="N58" t="s">
        <v>171</v>
      </c>
      <c r="O58" t="s">
        <v>172</v>
      </c>
    </row>
    <row r="59" spans="8:15" ht="15.75" thickBot="1">
      <c r="H59" s="113">
        <f>I56/$K$13*H57</f>
        <v>36422.01634532373</v>
      </c>
      <c r="I59" s="124" t="str">
        <f>I43</f>
        <v>$ Expended</v>
      </c>
      <c r="J59" s="125"/>
      <c r="M59" t="s">
        <v>80</v>
      </c>
      <c r="N59" s="114">
        <f>H38</f>
        <v>86324.46043165468</v>
      </c>
      <c r="O59" s="51">
        <f>H43</f>
        <v>166254.51638689046</v>
      </c>
    </row>
    <row r="60" spans="13:15" ht="15.75" thickBot="1">
      <c r="M60" t="str">
        <f>H55</f>
        <v>Algal Biofuel + Composite</v>
      </c>
      <c r="N60" s="114">
        <f>H57</f>
        <v>81949.5367769784</v>
      </c>
      <c r="O60" s="51">
        <f>H59</f>
        <v>36422.01634532373</v>
      </c>
    </row>
    <row r="61" spans="8:15" ht="15">
      <c r="H61" s="119" t="str">
        <f>IF(H55=Technologies!$A$3,"Driveshaft Removal Not Applicable","Also Remove Driveshaft")</f>
        <v>Also Remove Driveshaft</v>
      </c>
      <c r="I61" s="120"/>
      <c r="J61" s="121"/>
      <c r="M61" t="s">
        <v>170</v>
      </c>
      <c r="N61" s="114">
        <f>H63</f>
        <v>81733.72562589929</v>
      </c>
      <c r="O61" s="52">
        <f>H65</f>
        <v>36326.10027817746</v>
      </c>
    </row>
    <row r="62" spans="8:14" ht="15">
      <c r="H62" s="107">
        <f>H56+Technologies!$E$18</f>
        <v>0.053180000000000005</v>
      </c>
      <c r="I62" s="108">
        <f>I56</f>
        <v>3</v>
      </c>
      <c r="J62" s="109"/>
      <c r="N62"/>
    </row>
    <row r="63" spans="8:14" ht="15">
      <c r="H63" s="110">
        <f>(1-H62)*H38</f>
        <v>81733.72562589929</v>
      </c>
      <c r="I63" s="122" t="str">
        <f>I38</f>
        <v>Pounds Expended</v>
      </c>
      <c r="J63" s="123"/>
      <c r="N63"/>
    </row>
    <row r="64" spans="8:14" ht="15">
      <c r="H64" s="111"/>
      <c r="I64" s="108"/>
      <c r="J64" s="109"/>
      <c r="N64"/>
    </row>
    <row r="65" spans="8:14" ht="15.75" thickBot="1">
      <c r="H65" s="113">
        <f>I62/$K$13*H63</f>
        <v>36326.10027817746</v>
      </c>
      <c r="I65" s="124" t="str">
        <f>I43</f>
        <v>$ Expended</v>
      </c>
      <c r="J65" s="125"/>
      <c r="N65"/>
    </row>
  </sheetData>
  <sheetProtection/>
  <mergeCells count="7">
    <mergeCell ref="H61:J61"/>
    <mergeCell ref="I63:J63"/>
    <mergeCell ref="I65:J65"/>
    <mergeCell ref="A1:Q1"/>
    <mergeCell ref="H55:J55"/>
    <mergeCell ref="I57:J57"/>
    <mergeCell ref="I59:J59"/>
  </mergeCells>
  <dataValidations count="5">
    <dataValidation type="list" allowBlank="1" showInputMessage="1" showErrorMessage="1" sqref="F25 B16 F16 D10 F10 D16 B10 B25 D25">
      <formula1>Lift</formula1>
    </dataValidation>
    <dataValidation type="list" allowBlank="1" showInputMessage="1" showErrorMessage="1" sqref="D3 F3 B3">
      <formula1>Aircraft_Type</formula1>
    </dataValidation>
    <dataValidation type="list" allowBlank="1" showInputMessage="1" showErrorMessage="1" sqref="D6:D7 F6:F7 B6:B7">
      <formula1>Unit</formula1>
    </dataValidation>
    <dataValidation type="list" allowBlank="1" showInputMessage="1" showErrorMessage="1" sqref="D8 F8 B8">
      <formula1>Location</formula1>
    </dataValidation>
    <dataValidation type="list" allowBlank="1" showInputMessage="1" showErrorMessage="1" sqref="H55">
      <formula1>Technologies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="70" zoomScaleNormal="70" zoomScalePageLayoutView="70" workbookViewId="0" topLeftCell="A1">
      <selection activeCell="H38" sqref="H38"/>
    </sheetView>
  </sheetViews>
  <sheetFormatPr defaultColWidth="8.8515625" defaultRowHeight="15"/>
  <cols>
    <col min="1" max="1" width="30.421875" style="0" customWidth="1"/>
    <col min="2" max="2" width="12.421875" style="11" customWidth="1"/>
    <col min="3" max="3" width="7.421875" style="0" customWidth="1"/>
    <col min="4" max="4" width="12.421875" style="11" customWidth="1"/>
    <col min="5" max="5" width="5.421875" style="0" customWidth="1"/>
    <col min="6" max="6" width="12.421875" style="11" customWidth="1"/>
    <col min="7" max="7" width="3.7109375" style="0" customWidth="1"/>
    <col min="8" max="8" width="10.140625" style="23" customWidth="1"/>
    <col min="9" max="9" width="16.7109375" style="0" customWidth="1"/>
    <col min="10" max="10" width="25.140625" style="0" customWidth="1"/>
    <col min="11" max="11" width="10.421875" style="1" customWidth="1"/>
    <col min="12" max="12" width="8.8515625" style="0" customWidth="1"/>
    <col min="13" max="13" width="25.140625" style="0" customWidth="1"/>
    <col min="14" max="14" width="10.421875" style="1" customWidth="1"/>
    <col min="15" max="15" width="8.8515625" style="0" customWidth="1"/>
    <col min="16" max="16" width="25.140625" style="0" customWidth="1"/>
    <col min="17" max="17" width="10.421875" style="1" customWidth="1"/>
  </cols>
  <sheetData>
    <row r="1" spans="1:17" ht="18.75">
      <c r="A1" s="126" t="s">
        <v>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ht="15.75" thickBot="1"/>
    <row r="3" spans="1:17" ht="15.75" thickBot="1">
      <c r="A3" t="s">
        <v>108</v>
      </c>
      <c r="B3" s="100" t="s">
        <v>101</v>
      </c>
      <c r="D3" s="100" t="s">
        <v>86</v>
      </c>
      <c r="F3" s="100" t="s">
        <v>53</v>
      </c>
      <c r="J3" t="s">
        <v>109</v>
      </c>
      <c r="K3" s="1" t="str">
        <f>B3</f>
        <v>UH-60A</v>
      </c>
      <c r="M3" t="s">
        <v>109</v>
      </c>
      <c r="N3" s="1" t="str">
        <f>D3</f>
        <v>UH-60</v>
      </c>
      <c r="P3" t="s">
        <v>109</v>
      </c>
      <c r="Q3" s="1" t="str">
        <f>F3</f>
        <v>UH-60 C2</v>
      </c>
    </row>
    <row r="4" spans="10:17" ht="15.75" thickBot="1">
      <c r="J4" s="7" t="s">
        <v>87</v>
      </c>
      <c r="K4" s="56" t="str">
        <f>HLOOKUP(B3,Reference!$B$2:$L$13,2,FALSE)</f>
        <v>Movement/Assault</v>
      </c>
      <c r="M4" s="7" t="s">
        <v>87</v>
      </c>
      <c r="N4" s="56" t="str">
        <f>HLOOKUP($D$3,Reference!$B$2:$L$13,2,FALSE)</f>
        <v>MedVac</v>
      </c>
      <c r="P4" s="7" t="s">
        <v>87</v>
      </c>
      <c r="Q4" s="56" t="e">
        <f>HLOOKUP(F3,Reference!$B$2:$L$13,2,FALSE)</f>
        <v>#N/A</v>
      </c>
    </row>
    <row r="5" spans="1:17" ht="15.75" thickBot="1">
      <c r="A5" t="s">
        <v>137</v>
      </c>
      <c r="B5" s="101">
        <v>13</v>
      </c>
      <c r="D5" s="22">
        <v>13</v>
      </c>
      <c r="F5" s="22">
        <v>13</v>
      </c>
      <c r="J5" s="7" t="s">
        <v>94</v>
      </c>
      <c r="K5" s="8">
        <f>HLOOKUP(B3,Reference!B2:L13,3,FALSE)</f>
        <v>11284</v>
      </c>
      <c r="M5" s="7" t="s">
        <v>94</v>
      </c>
      <c r="N5" s="56">
        <f>HLOOKUP($D$3,Reference!$B$2:$L$13,3,FALSE)</f>
        <v>0</v>
      </c>
      <c r="P5" s="7" t="s">
        <v>94</v>
      </c>
      <c r="Q5" s="56" t="e">
        <f>HLOOKUP(F3,Reference!$B$2:$L$13,3,FALSE)</f>
        <v>#N/A</v>
      </c>
    </row>
    <row r="6" spans="1:17" ht="15.75" thickBot="1">
      <c r="A6" t="s">
        <v>111</v>
      </c>
      <c r="B6" s="33" t="s">
        <v>122</v>
      </c>
      <c r="D6" s="21" t="s">
        <v>122</v>
      </c>
      <c r="F6" s="21" t="s">
        <v>122</v>
      </c>
      <c r="J6" s="7" t="s">
        <v>95</v>
      </c>
      <c r="K6" s="8">
        <f>HLOOKUP(B3,Reference!B2:L13,4,FALSE)</f>
        <v>22000</v>
      </c>
      <c r="M6" s="7" t="s">
        <v>95</v>
      </c>
      <c r="N6" s="56">
        <f>HLOOKUP($D$3,Reference!$B$2:$L$13,4,FALSE)</f>
        <v>0</v>
      </c>
      <c r="P6" s="7" t="s">
        <v>95</v>
      </c>
      <c r="Q6" s="56" t="e">
        <f>HLOOKUP(F3,Reference!$B$2:$L$13,4,FALSE)</f>
        <v>#N/A</v>
      </c>
    </row>
    <row r="7" spans="2:17" ht="15.75" thickBot="1">
      <c r="B7" s="13"/>
      <c r="D7" s="13"/>
      <c r="F7" s="13"/>
      <c r="J7" s="7" t="s">
        <v>103</v>
      </c>
      <c r="K7" s="8">
        <f>HLOOKUP(B3,Reference!B2:L13,5,FALSE)</f>
        <v>11</v>
      </c>
      <c r="M7" s="7" t="s">
        <v>103</v>
      </c>
      <c r="N7" s="56" t="str">
        <f>HLOOKUP($D$3,Reference!$B$2:$L$13,5,FALSE)</f>
        <v>6 Litters</v>
      </c>
      <c r="P7" s="7" t="s">
        <v>103</v>
      </c>
      <c r="Q7" s="56" t="e">
        <f>HLOOKUP(F3,Reference!$B$2:$L$13,5,FALSE)</f>
        <v>#N/A</v>
      </c>
    </row>
    <row r="8" spans="1:17" ht="15.75" thickBot="1">
      <c r="A8" t="s">
        <v>124</v>
      </c>
      <c r="B8" s="100" t="s">
        <v>132</v>
      </c>
      <c r="D8" s="100" t="s">
        <v>132</v>
      </c>
      <c r="F8" s="100" t="s">
        <v>132</v>
      </c>
      <c r="J8" s="7" t="s">
        <v>100</v>
      </c>
      <c r="K8" s="8">
        <f>HLOOKUP(B3,Reference!B2:L13,6,FALSE)</f>
        <v>2430</v>
      </c>
      <c r="M8" s="7" t="s">
        <v>100</v>
      </c>
      <c r="N8" s="56">
        <f>HLOOKUP($D$3,Reference!$B$2:$L$13,6,FALSE)</f>
        <v>2430</v>
      </c>
      <c r="P8" s="7" t="s">
        <v>100</v>
      </c>
      <c r="Q8" s="56" t="e">
        <f>HLOOKUP(F3,Reference!$B$2:$L$13,6,FALSE)</f>
        <v>#N/A</v>
      </c>
    </row>
    <row r="9" spans="1:17" ht="15.75" thickBot="1">
      <c r="A9" t="s">
        <v>123</v>
      </c>
      <c r="B9" s="100">
        <v>15</v>
      </c>
      <c r="D9" s="100">
        <v>8</v>
      </c>
      <c r="F9" s="100">
        <v>5</v>
      </c>
      <c r="J9" s="9" t="s">
        <v>106</v>
      </c>
      <c r="K9" s="10">
        <f>HLOOKUP(B3,Reference!B2:L13,7,FALSE)</f>
        <v>2.5</v>
      </c>
      <c r="M9" s="9" t="s">
        <v>106</v>
      </c>
      <c r="N9" s="56">
        <f>HLOOKUP($D$3,Reference!$B$2:$L$13,7,FALSE)</f>
        <v>2.5</v>
      </c>
      <c r="P9" s="9" t="s">
        <v>106</v>
      </c>
      <c r="Q9" s="56" t="e">
        <f>HLOOKUP(F3,Reference!$B$2:$L$13,7,FALSE)</f>
        <v>#N/A</v>
      </c>
    </row>
    <row r="10" spans="1:17" ht="15.75" thickBot="1">
      <c r="A10" t="s">
        <v>20</v>
      </c>
      <c r="B10" s="100" t="s">
        <v>34</v>
      </c>
      <c r="D10" s="100" t="s">
        <v>91</v>
      </c>
      <c r="F10" s="100" t="s">
        <v>35</v>
      </c>
      <c r="J10" s="9" t="s">
        <v>107</v>
      </c>
      <c r="K10" s="8">
        <f>HLOOKUP(B3,Reference!B2:L13,8,FALSE)</f>
        <v>319</v>
      </c>
      <c r="M10" s="9" t="s">
        <v>107</v>
      </c>
      <c r="N10" s="56">
        <f>HLOOKUP($D$3,Reference!$B$2:$L$13,8,FALSE)</f>
        <v>319</v>
      </c>
      <c r="P10" s="9" t="s">
        <v>107</v>
      </c>
      <c r="Q10" s="56" t="e">
        <f>HLOOKUP(F3,Reference!$B$2:$L$13,8,FALSE)</f>
        <v>#N/A</v>
      </c>
    </row>
    <row r="11" spans="1:17" ht="15.75" thickBot="1">
      <c r="A11" t="s">
        <v>175</v>
      </c>
      <c r="B11" s="100">
        <v>215</v>
      </c>
      <c r="D11" s="100">
        <v>215</v>
      </c>
      <c r="F11" s="100">
        <v>215</v>
      </c>
      <c r="J11" s="7" t="s">
        <v>96</v>
      </c>
      <c r="K11" s="8">
        <f>HLOOKUP(B3,Reference!B2:L13,9,FALSE)</f>
        <v>139</v>
      </c>
      <c r="M11" s="7" t="s">
        <v>96</v>
      </c>
      <c r="N11" s="56">
        <v>139</v>
      </c>
      <c r="P11" s="7" t="s">
        <v>96</v>
      </c>
      <c r="Q11" s="56">
        <v>139</v>
      </c>
    </row>
    <row r="12" spans="1:17" ht="15.75" thickBot="1">
      <c r="A12" t="s">
        <v>135</v>
      </c>
      <c r="B12" s="102">
        <v>0.1</v>
      </c>
      <c r="D12" s="102">
        <v>0.1</v>
      </c>
      <c r="F12" s="102">
        <v>0.1</v>
      </c>
      <c r="J12" s="7" t="s">
        <v>97</v>
      </c>
      <c r="K12" s="8">
        <f>HLOOKUP(B3,Reference!B2:L13,10,FALSE)</f>
        <v>1081</v>
      </c>
      <c r="M12" s="7" t="s">
        <v>97</v>
      </c>
      <c r="N12" s="56">
        <f>HLOOKUP($D$3,Reference!$B$2:$L$13,10,FALSE)</f>
        <v>1081</v>
      </c>
      <c r="P12" s="7" t="s">
        <v>97</v>
      </c>
      <c r="Q12" s="56" t="e">
        <f>HLOOKUP(F3,Reference!$B$2:$L$13,10,FALSE)</f>
        <v>#N/A</v>
      </c>
    </row>
    <row r="13" spans="1:17" ht="15.75" thickBot="1">
      <c r="A13" t="s">
        <v>0</v>
      </c>
      <c r="B13" s="100">
        <v>0.5</v>
      </c>
      <c r="D13" s="100">
        <v>0.5</v>
      </c>
      <c r="F13" s="100">
        <v>0.5</v>
      </c>
      <c r="J13" s="7" t="s">
        <v>98</v>
      </c>
      <c r="K13" s="8">
        <f>HLOOKUP(B3,Reference!B2:L13,11,FALSE)</f>
        <v>6.75</v>
      </c>
      <c r="M13" s="7" t="s">
        <v>98</v>
      </c>
      <c r="N13" s="56">
        <f>HLOOKUP($D$3,Reference!$B$2:$L$13,11,FALSE)</f>
        <v>6.75</v>
      </c>
      <c r="P13" s="7" t="s">
        <v>98</v>
      </c>
      <c r="Q13" s="56" t="e">
        <f>HLOOKUP(F3,Reference!$B$2:$L$13,11,FALSE)</f>
        <v>#N/A</v>
      </c>
    </row>
    <row r="14" spans="2:17" ht="33.75" customHeight="1">
      <c r="B14" s="13"/>
      <c r="D14" s="13"/>
      <c r="F14" s="13"/>
      <c r="J14" s="7" t="s">
        <v>104</v>
      </c>
      <c r="K14" s="8" t="str">
        <f>HLOOKUP(B3,Reference!B2:L13,12,FALSE)</f>
        <v>Sea Level</v>
      </c>
      <c r="M14" s="7" t="s">
        <v>104</v>
      </c>
      <c r="N14" s="56" t="str">
        <f>HLOOKUP($D$3,Reference!$B$2:$L$13,12,FALSE)</f>
        <v>Sea Level</v>
      </c>
      <c r="P14" s="7" t="s">
        <v>104</v>
      </c>
      <c r="Q14" s="56" t="e">
        <f>HLOOKUP(F3,Reference!$B$2:$L$13,12,FALSE)</f>
        <v>#N/A</v>
      </c>
    </row>
    <row r="15" spans="1:6" ht="15.75" thickBot="1">
      <c r="A15" t="s">
        <v>22</v>
      </c>
      <c r="B15" s="13"/>
      <c r="D15" s="13"/>
      <c r="F15" s="13"/>
    </row>
    <row r="16" spans="1:17" ht="15.75" thickBot="1">
      <c r="A16" s="35" t="s">
        <v>8</v>
      </c>
      <c r="B16" s="36" t="s">
        <v>34</v>
      </c>
      <c r="C16" s="37"/>
      <c r="D16" s="36" t="s">
        <v>7</v>
      </c>
      <c r="E16" s="37"/>
      <c r="F16" s="36" t="s">
        <v>33</v>
      </c>
      <c r="G16" s="37"/>
      <c r="H16" s="38"/>
      <c r="K16"/>
      <c r="N16"/>
      <c r="Q16"/>
    </row>
    <row r="17" spans="1:17" ht="15.75" thickBot="1">
      <c r="A17" s="39" t="s">
        <v>11</v>
      </c>
      <c r="B17" s="36">
        <f>K11</f>
        <v>139</v>
      </c>
      <c r="C17" s="40"/>
      <c r="D17" s="36">
        <f>N11</f>
        <v>139</v>
      </c>
      <c r="E17" s="40"/>
      <c r="F17" s="36">
        <f>Q11</f>
        <v>139</v>
      </c>
      <c r="G17" s="40"/>
      <c r="H17" s="41"/>
      <c r="K17"/>
      <c r="N17"/>
      <c r="Q17"/>
    </row>
    <row r="18" spans="1:17" ht="15">
      <c r="A18" s="39" t="s">
        <v>15</v>
      </c>
      <c r="B18" s="42">
        <f>IF(B$6="Gallons",B$11/B17*$K$12/$K$13,B$11/B17*$K$12)</f>
        <v>1672.0503597122301</v>
      </c>
      <c r="C18" s="42"/>
      <c r="D18" s="42">
        <f>IF(D$6="Gallons",D$11/D17*$K$12/$K$13,D$11/D17*$K$12)</f>
        <v>1672.0503597122301</v>
      </c>
      <c r="E18" s="42"/>
      <c r="F18" s="42">
        <f>IF(F$6="Gallons",F$11/F17*$K$12/$K$13,F$11/F17*$K$12)</f>
        <v>1672.0503597122301</v>
      </c>
      <c r="G18" s="40"/>
      <c r="H18" s="41"/>
      <c r="K18"/>
      <c r="N18"/>
      <c r="Q18"/>
    </row>
    <row r="19" spans="1:17" ht="15">
      <c r="A19" s="43" t="s">
        <v>112</v>
      </c>
      <c r="B19" s="34">
        <f>IF(B6="Gallons",$K$12/$K$13/B17,$K$12/B17)</f>
        <v>7.776978417266187</v>
      </c>
      <c r="C19" s="34"/>
      <c r="D19" s="34">
        <f>IF(D6="Gallons",$K$12/$K$13/D17,$K$12/D17)</f>
        <v>7.776978417266187</v>
      </c>
      <c r="E19" s="34"/>
      <c r="F19" s="34">
        <f>IF(F6="Gallons",$K$12/$K$13/F17,$K$12/F17)</f>
        <v>7.776978417266187</v>
      </c>
      <c r="G19" s="40"/>
      <c r="H19" s="41"/>
      <c r="K19"/>
      <c r="N19"/>
      <c r="Q19"/>
    </row>
    <row r="20" spans="1:17" ht="15">
      <c r="A20" s="43" t="s">
        <v>113</v>
      </c>
      <c r="B20" s="34">
        <f>$K$12</f>
        <v>1081</v>
      </c>
      <c r="C20" s="34"/>
      <c r="D20" s="34">
        <f>$K$12</f>
        <v>1081</v>
      </c>
      <c r="E20" s="34"/>
      <c r="F20" s="34">
        <f>$K$12</f>
        <v>1081</v>
      </c>
      <c r="G20" s="40"/>
      <c r="H20" s="41"/>
      <c r="K20"/>
      <c r="N20"/>
      <c r="Q20"/>
    </row>
    <row r="21" spans="1:17" ht="15">
      <c r="A21" s="39" t="s">
        <v>16</v>
      </c>
      <c r="B21" s="42">
        <f>B$11/B17</f>
        <v>1.5467625899280575</v>
      </c>
      <c r="C21" s="42"/>
      <c r="D21" s="42">
        <f>D$11/D17</f>
        <v>1.5467625899280575</v>
      </c>
      <c r="E21" s="42"/>
      <c r="F21" s="42">
        <f>F$11/F17</f>
        <v>1.5467625899280575</v>
      </c>
      <c r="G21" s="40"/>
      <c r="H21" s="41"/>
      <c r="K21"/>
      <c r="N21"/>
      <c r="Q21"/>
    </row>
    <row r="22" spans="1:17" ht="15">
      <c r="A22" s="39" t="s">
        <v>138</v>
      </c>
      <c r="B22" s="42">
        <f>IF(B23&gt;(B21+B30),"N/A",B13)</f>
        <v>0.5</v>
      </c>
      <c r="C22" s="42"/>
      <c r="D22" s="42">
        <f>IF(D23&gt;(D21+D30),"N/A",D13)</f>
        <v>0.5</v>
      </c>
      <c r="E22" s="42"/>
      <c r="F22" s="42">
        <f>IF(F23&gt;(F21+F30),"N/A",F13)</f>
        <v>0.5</v>
      </c>
      <c r="G22" s="40"/>
      <c r="H22" s="41"/>
      <c r="K22"/>
      <c r="N22"/>
      <c r="Q22"/>
    </row>
    <row r="23" spans="1:17" ht="15">
      <c r="A23" s="39" t="s">
        <v>120</v>
      </c>
      <c r="B23" s="42">
        <f>$K$8*(1-B12)/$K$12</f>
        <v>2.023126734505088</v>
      </c>
      <c r="C23" s="42"/>
      <c r="D23" s="42">
        <f>$K$8*(1-D12)/$K$12</f>
        <v>2.023126734505088</v>
      </c>
      <c r="E23" s="42"/>
      <c r="F23" s="42">
        <f>$K$8*(1-F12)/$K$12</f>
        <v>2.023126734505088</v>
      </c>
      <c r="G23" s="40"/>
      <c r="H23" s="41"/>
      <c r="K23"/>
      <c r="N23"/>
      <c r="Q23"/>
    </row>
    <row r="24" spans="1:17" ht="15.75" thickBot="1">
      <c r="A24" s="43"/>
      <c r="B24" s="44"/>
      <c r="C24" s="40"/>
      <c r="D24" s="44"/>
      <c r="E24" s="40"/>
      <c r="F24" s="44"/>
      <c r="G24" s="40"/>
      <c r="H24" s="41"/>
      <c r="K24"/>
      <c r="N24"/>
      <c r="Q24"/>
    </row>
    <row r="25" spans="1:17" ht="15.75" thickBot="1">
      <c r="A25" s="39" t="s">
        <v>9</v>
      </c>
      <c r="B25" s="36" t="s">
        <v>10</v>
      </c>
      <c r="C25" s="40"/>
      <c r="D25" s="36" t="s">
        <v>10</v>
      </c>
      <c r="E25" s="40"/>
      <c r="F25" s="36" t="s">
        <v>10</v>
      </c>
      <c r="G25" s="40"/>
      <c r="H25" s="41"/>
      <c r="K25"/>
      <c r="N25"/>
      <c r="Q25"/>
    </row>
    <row r="26" spans="1:17" ht="15.75" thickBot="1">
      <c r="A26" s="39" t="s">
        <v>12</v>
      </c>
      <c r="B26" s="36">
        <f>B17</f>
        <v>139</v>
      </c>
      <c r="C26" s="40"/>
      <c r="D26" s="36">
        <f>D17</f>
        <v>139</v>
      </c>
      <c r="E26" s="40"/>
      <c r="F26" s="36">
        <f>F17</f>
        <v>139</v>
      </c>
      <c r="G26" s="40"/>
      <c r="H26" s="41"/>
      <c r="K26"/>
      <c r="N26"/>
      <c r="Q26"/>
    </row>
    <row r="27" spans="1:17" ht="15">
      <c r="A27" s="39" t="s">
        <v>17</v>
      </c>
      <c r="B27" s="42">
        <f>IF(B$6="Gallons",B$11/B26*$K$12/$K$13,B$11/B26*$K$12)</f>
        <v>1672.0503597122301</v>
      </c>
      <c r="C27" s="42"/>
      <c r="D27" s="42">
        <f>IF(D$6="Gallons",D$11/D26*$K$12/$K$13,D$11/D26*$K$12)</f>
        <v>1672.0503597122301</v>
      </c>
      <c r="E27" s="42"/>
      <c r="F27" s="42">
        <f>IF(F$6="Gallons",F$11/F26*$K$12/$K$13,F$11/F26*$K$12)</f>
        <v>1672.0503597122301</v>
      </c>
      <c r="G27" s="40"/>
      <c r="H27" s="41"/>
      <c r="K27"/>
      <c r="N27"/>
      <c r="Q27"/>
    </row>
    <row r="28" spans="1:17" ht="15">
      <c r="A28" s="43" t="s">
        <v>112</v>
      </c>
      <c r="B28" s="34">
        <f>IF(B16="Gallons",$K$12/$K$13/B26,$K$12/B26)</f>
        <v>7.776978417266187</v>
      </c>
      <c r="C28" s="34"/>
      <c r="D28" s="34">
        <f>IF(D16="Gallons",$K$12/$K$13/D26,$K$12/D26)</f>
        <v>7.776978417266187</v>
      </c>
      <c r="E28" s="34"/>
      <c r="F28" s="34">
        <f>IF(F16="Gallons",$K$12/$K$13/F26,$K$12/F26)</f>
        <v>7.776978417266187</v>
      </c>
      <c r="G28" s="40"/>
      <c r="H28" s="41"/>
      <c r="K28"/>
      <c r="N28"/>
      <c r="Q28"/>
    </row>
    <row r="29" spans="1:17" ht="15">
      <c r="A29" s="43" t="s">
        <v>113</v>
      </c>
      <c r="B29" s="34">
        <f>$K$12</f>
        <v>1081</v>
      </c>
      <c r="C29" s="34"/>
      <c r="D29" s="34">
        <f>$K$12</f>
        <v>1081</v>
      </c>
      <c r="E29" s="34"/>
      <c r="F29" s="34">
        <f>$K$12</f>
        <v>1081</v>
      </c>
      <c r="G29" s="40"/>
      <c r="H29" s="41"/>
      <c r="K29"/>
      <c r="N29"/>
      <c r="Q29"/>
    </row>
    <row r="30" spans="1:17" ht="15">
      <c r="A30" s="39" t="s">
        <v>18</v>
      </c>
      <c r="B30" s="42">
        <f>B$11/B26</f>
        <v>1.5467625899280575</v>
      </c>
      <c r="C30" s="42"/>
      <c r="D30" s="42">
        <f>D$11/D26</f>
        <v>1.5467625899280575</v>
      </c>
      <c r="E30" s="42"/>
      <c r="F30" s="42">
        <f>F$11/F26</f>
        <v>1.5467625899280575</v>
      </c>
      <c r="G30" s="40"/>
      <c r="H30" s="41"/>
      <c r="K30"/>
      <c r="N30"/>
      <c r="Q30"/>
    </row>
    <row r="31" spans="1:17" ht="15">
      <c r="A31" s="39" t="s">
        <v>138</v>
      </c>
      <c r="B31" s="42" t="str">
        <f>IF(B32&gt;B30,"N/A",B30/B32)</f>
        <v>N/A</v>
      </c>
      <c r="C31" s="42"/>
      <c r="D31" s="42" t="str">
        <f>IF(D32&gt;D30,"N/A",D30/D32)</f>
        <v>N/A</v>
      </c>
      <c r="E31" s="42"/>
      <c r="F31" s="42" t="str">
        <f>IF(F32&gt;F30,"N/A",F30/F32)</f>
        <v>N/A</v>
      </c>
      <c r="G31" s="40"/>
      <c r="H31" s="41"/>
      <c r="K31"/>
      <c r="N31"/>
      <c r="Q31"/>
    </row>
    <row r="32" spans="1:17" ht="15.75" thickBot="1">
      <c r="A32" s="45" t="s">
        <v>120</v>
      </c>
      <c r="B32" s="46">
        <f>$K$8*(1-B12)/$K$12</f>
        <v>2.023126734505088</v>
      </c>
      <c r="C32" s="46"/>
      <c r="D32" s="46">
        <f>$K$8*(1-D12)/$K$12</f>
        <v>2.023126734505088</v>
      </c>
      <c r="E32" s="46"/>
      <c r="F32" s="46">
        <f>$K$8*(1-F12)/$K$12</f>
        <v>2.023126734505088</v>
      </c>
      <c r="G32" s="47"/>
      <c r="H32" s="48"/>
      <c r="K32"/>
      <c r="N32"/>
      <c r="Q32"/>
    </row>
    <row r="33" spans="1:6" ht="15">
      <c r="A33" s="6"/>
      <c r="B33" s="13"/>
      <c r="D33" s="13"/>
      <c r="F33" s="13"/>
    </row>
    <row r="34" spans="1:6" ht="15">
      <c r="A34" s="6"/>
      <c r="B34" s="13"/>
      <c r="D34" s="13"/>
      <c r="F34" s="13"/>
    </row>
    <row r="35" spans="1:6" ht="15">
      <c r="A35" s="6"/>
      <c r="B35" s="13"/>
      <c r="D35" s="13"/>
      <c r="F35" s="13"/>
    </row>
    <row r="36" spans="1:6" ht="15.75" thickBot="1">
      <c r="A36" s="6"/>
      <c r="B36" s="13"/>
      <c r="D36" s="13"/>
      <c r="F36" s="13"/>
    </row>
    <row r="37" ht="15.75" thickBot="1">
      <c r="H37" s="24"/>
    </row>
    <row r="38" spans="1:9" ht="15.75" thickBot="1">
      <c r="A38" t="s">
        <v>110</v>
      </c>
      <c r="B38" s="14">
        <f>(B18+B27)*B9</f>
        <v>50161.510791366905</v>
      </c>
      <c r="D38" s="14">
        <f>(D18+D27)*D9</f>
        <v>26752.805755395682</v>
      </c>
      <c r="F38" s="14">
        <f>(F18+F27)*F9</f>
        <v>16720.5035971223</v>
      </c>
      <c r="H38" s="49">
        <f>SUM(B38:F38)</f>
        <v>93634.82014388489</v>
      </c>
      <c r="I38" t="str">
        <f>IF($B$6="Gallons","Gallons Expended","Pounds Expended")</f>
        <v>Pounds Expended</v>
      </c>
    </row>
    <row r="39" spans="1:8" ht="15">
      <c r="A39" s="6" t="s">
        <v>24</v>
      </c>
      <c r="B39" s="18">
        <f>AVERAGE(B19,B28)</f>
        <v>7.776978417266187</v>
      </c>
      <c r="C39" s="17"/>
      <c r="D39" s="18">
        <f>AVERAGE(D19,D28)</f>
        <v>7.776978417266187</v>
      </c>
      <c r="E39" s="17"/>
      <c r="F39" s="18">
        <f>AVERAGE(F19,F28)</f>
        <v>7.776978417266187</v>
      </c>
      <c r="H39" s="26"/>
    </row>
    <row r="40" spans="1:8" ht="15">
      <c r="A40" s="6" t="s">
        <v>25</v>
      </c>
      <c r="B40" s="18">
        <f>AVERAGE(B20,B29)</f>
        <v>1081</v>
      </c>
      <c r="C40" s="19"/>
      <c r="D40" s="18">
        <f>AVERAGE(D20,D29)</f>
        <v>1081</v>
      </c>
      <c r="E40" s="19"/>
      <c r="F40" s="18">
        <f>AVERAGE(F20,F29)</f>
        <v>1081</v>
      </c>
      <c r="H40" s="26"/>
    </row>
    <row r="41" ht="15.75" thickBot="1">
      <c r="H41" s="26"/>
    </row>
    <row r="42" spans="1:9" ht="15.75" thickBot="1">
      <c r="A42" t="s">
        <v>115</v>
      </c>
      <c r="B42" s="55">
        <f>IF($B$6="Gallons",B38*$B$5,$B$5/$K$13*B38)</f>
        <v>96607.35411670663</v>
      </c>
      <c r="C42" s="51"/>
      <c r="D42" s="55">
        <f>IF($B$6="Gallons",D38*$B$5,$B$5/$K$13*D38)</f>
        <v>51523.922195576866</v>
      </c>
      <c r="E42" s="51"/>
      <c r="F42" s="55">
        <f>IF($B$6="Gallons",F38*$B$5,$B$5/$K$13*F38)</f>
        <v>32202.45137223554</v>
      </c>
      <c r="H42" s="27">
        <f>SUM(B42:F42)</f>
        <v>180333.72768451905</v>
      </c>
      <c r="I42" t="s">
        <v>2</v>
      </c>
    </row>
    <row r="43" spans="1:8" ht="15">
      <c r="A43" s="6" t="s">
        <v>28</v>
      </c>
      <c r="B43" s="53">
        <f>B42/(B11*B9)</f>
        <v>29.955768718358645</v>
      </c>
      <c r="C43" s="54"/>
      <c r="D43" s="53">
        <f>IF(D38&gt;0,D42/(D11*D9),0)</f>
        <v>29.955768718358645</v>
      </c>
      <c r="E43" s="54"/>
      <c r="F43" s="53">
        <f>IF(D38&gt;0,D42/(D11*D9),0)</f>
        <v>29.955768718358645</v>
      </c>
      <c r="H43" s="26"/>
    </row>
    <row r="44" spans="1:8" ht="15">
      <c r="A44" s="6" t="s">
        <v>29</v>
      </c>
      <c r="B44" s="53">
        <f>IF($B$6="Gallons",B40*B5,B40*B5/$K$13)</f>
        <v>2081.925925925926</v>
      </c>
      <c r="C44" s="54"/>
      <c r="D44" s="53">
        <f>IF($B$6="Gallons",D40*D5,D40*D5/$K$13)</f>
        <v>2081.925925925926</v>
      </c>
      <c r="E44" s="54"/>
      <c r="F44" s="53">
        <f>IF($B$6="Gallons",F40*F5,F40*F5/$K$13)</f>
        <v>2081.925925925926</v>
      </c>
      <c r="H44" s="26"/>
    </row>
    <row r="45" ht="15.75" thickBot="1">
      <c r="H45" s="26"/>
    </row>
    <row r="46" spans="1:9" ht="15.75" thickBot="1">
      <c r="A46" t="s">
        <v>119</v>
      </c>
      <c r="B46" s="14">
        <f>B21+B30</f>
        <v>3.093525179856115</v>
      </c>
      <c r="D46" s="14">
        <f>D21+D30</f>
        <v>3.093525179856115</v>
      </c>
      <c r="F46" s="14">
        <f>F21+F30</f>
        <v>3.093525179856115</v>
      </c>
      <c r="H46" s="25">
        <f>SUM(B46:F46)</f>
        <v>9.280575539568344</v>
      </c>
      <c r="I46" t="s">
        <v>3</v>
      </c>
    </row>
    <row r="47" spans="1:9" ht="15.75" thickBot="1">
      <c r="A47" t="s">
        <v>138</v>
      </c>
      <c r="B47" s="14">
        <f>IF(B22="N/A","N/A",B22*B9)</f>
        <v>7.5</v>
      </c>
      <c r="C47" s="15"/>
      <c r="D47" s="14">
        <f>IF(D22="N/A","N/A",D22*D9)</f>
        <v>4</v>
      </c>
      <c r="E47" s="15"/>
      <c r="F47" s="14">
        <f>IF(F22="N/A","N/A",F22*F9)</f>
        <v>2.5</v>
      </c>
      <c r="H47" s="25">
        <f>SUM(B47:F47)</f>
        <v>14</v>
      </c>
      <c r="I47" t="s">
        <v>176</v>
      </c>
    </row>
    <row r="48" spans="1:8" ht="15.75" thickBot="1">
      <c r="A48" t="s">
        <v>120</v>
      </c>
      <c r="B48" s="14">
        <f>K8*(1-F12)/K12</f>
        <v>2.023126734505088</v>
      </c>
      <c r="D48" s="14">
        <f>D32</f>
        <v>2.023126734505088</v>
      </c>
      <c r="F48" s="14">
        <f>F32</f>
        <v>2.023126734505088</v>
      </c>
      <c r="H48" s="25">
        <f>SUM(B48:F48)</f>
        <v>6.069380203515264</v>
      </c>
    </row>
    <row r="49" spans="1:9" ht="15.75" thickBot="1">
      <c r="A49" t="s">
        <v>27</v>
      </c>
      <c r="B49" s="11">
        <f>B9/5*44</f>
        <v>132</v>
      </c>
      <c r="D49" s="11">
        <v>0</v>
      </c>
      <c r="F49" s="11">
        <v>0</v>
      </c>
      <c r="H49" s="49">
        <f>SUM(B49:F49)</f>
        <v>132</v>
      </c>
      <c r="I49" t="s">
        <v>174</v>
      </c>
    </row>
    <row r="52" ht="15.75" thickBot="1"/>
    <row r="53" spans="8:14" ht="18.75">
      <c r="H53" s="127" t="s">
        <v>144</v>
      </c>
      <c r="I53" s="128"/>
      <c r="J53" s="129"/>
      <c r="N53"/>
    </row>
    <row r="54" spans="8:14" ht="15">
      <c r="H54" s="107">
        <f>VLOOKUP(H53,Technologies!$A$2:$F$10,2,FALSE)</f>
        <v>0.05068</v>
      </c>
      <c r="I54" s="108">
        <f>IF(OR(H53=Technologies!$A$6,H53=Technologies!$A$7,H53=Technologies!$A$8,H53=Technologies!$A$14),VLOOKUP(H53,Technologies!$A$2:$C$15,3,FALSE),$B$5)</f>
        <v>3</v>
      </c>
      <c r="J54" s="109"/>
      <c r="N54"/>
    </row>
    <row r="55" spans="8:14" ht="15">
      <c r="H55" s="110">
        <f>(1-H54)*H38</f>
        <v>88889.4074589928</v>
      </c>
      <c r="I55" s="122" t="str">
        <f>I38</f>
        <v>Pounds Expended</v>
      </c>
      <c r="J55" s="123"/>
      <c r="N55" t="s">
        <v>169</v>
      </c>
    </row>
    <row r="56" spans="8:15" ht="15">
      <c r="H56" s="111"/>
      <c r="I56" s="108"/>
      <c r="J56" s="109"/>
      <c r="N56" t="s">
        <v>171</v>
      </c>
      <c r="O56" t="s">
        <v>172</v>
      </c>
    </row>
    <row r="57" spans="8:15" ht="15.75" thickBot="1">
      <c r="H57" s="113">
        <f>I54/$K$13*H55</f>
        <v>39506.40331510791</v>
      </c>
      <c r="I57" s="124" t="str">
        <f>I42</f>
        <v>$ Expended</v>
      </c>
      <c r="J57" s="125"/>
      <c r="M57" t="s">
        <v>80</v>
      </c>
      <c r="N57" s="114">
        <f>H38</f>
        <v>93634.82014388489</v>
      </c>
      <c r="O57" s="51">
        <f>H42</f>
        <v>180333.72768451905</v>
      </c>
    </row>
    <row r="58" spans="13:15" ht="15.75" thickBot="1">
      <c r="M58" t="str">
        <f>H53</f>
        <v>Algal Biofuel + Composite</v>
      </c>
      <c r="N58" s="114">
        <f>H55</f>
        <v>88889.4074589928</v>
      </c>
      <c r="O58" s="51">
        <f>H57</f>
        <v>39506.40331510791</v>
      </c>
    </row>
    <row r="59" spans="8:15" ht="15">
      <c r="H59" s="119" t="str">
        <f>IF(H53=Technologies!$A$3,"Driveshaft Removal Not Applicable","Also Remove Driveshaft")</f>
        <v>Also Remove Driveshaft</v>
      </c>
      <c r="I59" s="120"/>
      <c r="J59" s="121"/>
      <c r="M59" t="s">
        <v>170</v>
      </c>
      <c r="N59" s="114">
        <f>H61</f>
        <v>88655.3204086331</v>
      </c>
      <c r="O59" s="52">
        <f>H63</f>
        <v>39402.36462605915</v>
      </c>
    </row>
    <row r="60" spans="8:14" ht="15">
      <c r="H60" s="107">
        <f>H54+Technologies!$E$18</f>
        <v>0.053180000000000005</v>
      </c>
      <c r="I60" s="108">
        <f>I54</f>
        <v>3</v>
      </c>
      <c r="J60" s="109"/>
      <c r="N60"/>
    </row>
    <row r="61" spans="8:14" ht="15">
      <c r="H61" s="110">
        <f>(1-H60)*H38</f>
        <v>88655.3204086331</v>
      </c>
      <c r="I61" s="122" t="str">
        <f>I38</f>
        <v>Pounds Expended</v>
      </c>
      <c r="J61" s="123"/>
      <c r="N61"/>
    </row>
    <row r="62" spans="8:14" ht="15">
      <c r="H62" s="111"/>
      <c r="I62" s="108"/>
      <c r="J62" s="109"/>
      <c r="N62"/>
    </row>
    <row r="63" spans="8:14" ht="15.75" thickBot="1">
      <c r="H63" s="113">
        <f>I60/$K$13*H61</f>
        <v>39402.36462605915</v>
      </c>
      <c r="I63" s="124" t="str">
        <f>I42</f>
        <v>$ Expended</v>
      </c>
      <c r="J63" s="125"/>
      <c r="N63"/>
    </row>
  </sheetData>
  <sheetProtection/>
  <mergeCells count="7">
    <mergeCell ref="H59:J59"/>
    <mergeCell ref="I61:J61"/>
    <mergeCell ref="I63:J63"/>
    <mergeCell ref="A1:Q1"/>
    <mergeCell ref="H53:J53"/>
    <mergeCell ref="I55:J55"/>
    <mergeCell ref="I57:J57"/>
  </mergeCells>
  <dataValidations count="5">
    <dataValidation type="list" allowBlank="1" showInputMessage="1" showErrorMessage="1" sqref="B25 B16 B10 D16 D10 F16 F10 F25 D25">
      <formula1>Lift</formula1>
    </dataValidation>
    <dataValidation type="list" allowBlank="1" showInputMessage="1" showErrorMessage="1" sqref="D8 B8 F8">
      <formula1>Location</formula1>
    </dataValidation>
    <dataValidation type="list" allowBlank="1" showInputMessage="1" showErrorMessage="1" sqref="D6:D7 B6:B7 F6:F7">
      <formula1>Unit</formula1>
    </dataValidation>
    <dataValidation type="list" allowBlank="1" showInputMessage="1" showErrorMessage="1" sqref="D3 B3 F3">
      <formula1>Aircraft_Type</formula1>
    </dataValidation>
    <dataValidation type="list" allowBlank="1" showInputMessage="1" showErrorMessage="1" sqref="H53">
      <formula1>Technologies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70" workbookViewId="0" topLeftCell="A1">
      <selection activeCell="E20" sqref="E20"/>
    </sheetView>
  </sheetViews>
  <sheetFormatPr defaultColWidth="8.8515625" defaultRowHeight="15"/>
  <cols>
    <col min="1" max="1" width="30.421875" style="0" customWidth="1"/>
    <col min="2" max="2" width="12.421875" style="11" customWidth="1"/>
    <col min="3" max="3" width="7.421875" style="0" customWidth="1"/>
    <col min="4" max="4" width="3.7109375" style="0" customWidth="1"/>
    <col min="5" max="5" width="14.28125" style="23" customWidth="1"/>
    <col min="6" max="6" width="16.7109375" style="0" customWidth="1"/>
    <col min="7" max="7" width="25.140625" style="0" customWidth="1"/>
    <col min="8" max="8" width="10.421875" style="1" customWidth="1"/>
  </cols>
  <sheetData>
    <row r="1" spans="1:9" ht="18.75">
      <c r="A1" s="126" t="s">
        <v>140</v>
      </c>
      <c r="B1" s="126"/>
      <c r="C1" s="126"/>
      <c r="D1" s="126"/>
      <c r="E1" s="126"/>
      <c r="F1" s="126"/>
      <c r="G1" s="126"/>
      <c r="H1" s="126"/>
      <c r="I1" s="126"/>
    </row>
    <row r="2" ht="15.75" thickBot="1"/>
    <row r="3" spans="1:8" ht="15.75" thickBot="1">
      <c r="A3" t="s">
        <v>108</v>
      </c>
      <c r="B3" s="100" t="s">
        <v>45</v>
      </c>
      <c r="G3" t="s">
        <v>109</v>
      </c>
      <c r="H3" s="1" t="str">
        <f>B3</f>
        <v>HH-60G</v>
      </c>
    </row>
    <row r="4" spans="7:8" ht="15.75" thickBot="1">
      <c r="G4" s="7" t="s">
        <v>87</v>
      </c>
      <c r="H4" s="56" t="str">
        <f>HLOOKUP($B$3,Reference!$B$2:$N$13,2,FALSE)</f>
        <v>Combat Search and Rescue</v>
      </c>
    </row>
    <row r="5" spans="1:8" ht="15.75" thickBot="1">
      <c r="A5" t="s">
        <v>137</v>
      </c>
      <c r="B5" s="101">
        <v>13</v>
      </c>
      <c r="G5" s="7" t="s">
        <v>94</v>
      </c>
      <c r="H5" s="56">
        <f>HLOOKUP($B$3,Reference!$B$2:$N$13,3,FALSE)</f>
        <v>16000</v>
      </c>
    </row>
    <row r="6" spans="1:8" ht="15.75" thickBot="1">
      <c r="A6" t="s">
        <v>111</v>
      </c>
      <c r="B6" s="33" t="s">
        <v>122</v>
      </c>
      <c r="G6" s="7" t="s">
        <v>95</v>
      </c>
      <c r="H6" s="56">
        <f>HLOOKUP($B$3,Reference!$B$2:$N$13,4,FALSE)</f>
        <v>0</v>
      </c>
    </row>
    <row r="7" spans="2:8" ht="15.75" thickBot="1">
      <c r="B7" s="13"/>
      <c r="G7" s="7" t="s">
        <v>103</v>
      </c>
      <c r="H7" s="56" t="str">
        <f>HLOOKUP($B$3,Reference!$B$2:$N$13,5,FALSE)</f>
        <v>6 Litters</v>
      </c>
    </row>
    <row r="8" spans="1:8" ht="15.75" thickBot="1">
      <c r="A8" t="s">
        <v>124</v>
      </c>
      <c r="B8" s="100" t="s">
        <v>133</v>
      </c>
      <c r="G8" s="7" t="s">
        <v>100</v>
      </c>
      <c r="H8" s="56">
        <f>HLOOKUP($B$3,Reference!$B$2:$N$13,6,FALSE)</f>
        <v>5535</v>
      </c>
    </row>
    <row r="9" spans="1:8" ht="15.75" thickBot="1">
      <c r="A9" t="s">
        <v>123</v>
      </c>
      <c r="B9" s="100">
        <v>2</v>
      </c>
      <c r="G9" s="9" t="s">
        <v>106</v>
      </c>
      <c r="H9" s="56">
        <f>HLOOKUP($B$3,Reference!$B$2:$N$13,7,FALSE)</f>
        <v>2.5</v>
      </c>
    </row>
    <row r="10" spans="1:8" ht="15.75" thickBot="1">
      <c r="A10" t="s">
        <v>20</v>
      </c>
      <c r="B10" s="100" t="s">
        <v>91</v>
      </c>
      <c r="G10" s="9" t="s">
        <v>107</v>
      </c>
      <c r="H10" s="56">
        <f>HLOOKUP($B$3,Reference!$B$2:$N$13,8,FALSE)</f>
        <v>1200</v>
      </c>
    </row>
    <row r="11" spans="1:8" ht="15.75" thickBot="1">
      <c r="A11" t="s">
        <v>173</v>
      </c>
      <c r="B11" s="100">
        <v>800</v>
      </c>
      <c r="G11" s="7" t="s">
        <v>96</v>
      </c>
      <c r="H11" s="56">
        <f>HLOOKUP($B$3,Reference!$B$2:$N$13,9,FALSE)</f>
        <v>139</v>
      </c>
    </row>
    <row r="12" spans="1:8" ht="15.75" thickBot="1">
      <c r="A12" t="s">
        <v>135</v>
      </c>
      <c r="B12" s="102">
        <v>0.1</v>
      </c>
      <c r="G12" s="7" t="s">
        <v>97</v>
      </c>
      <c r="H12" s="56">
        <f>HLOOKUP($B$3,Reference!$B$2:$N$13,10,FALSE)</f>
        <v>1081</v>
      </c>
    </row>
    <row r="13" spans="1:8" ht="15.75" thickBot="1">
      <c r="A13" t="s">
        <v>0</v>
      </c>
      <c r="B13" s="100">
        <v>0.5</v>
      </c>
      <c r="G13" s="7" t="s">
        <v>98</v>
      </c>
      <c r="H13" s="56">
        <f>HLOOKUP($B$3,Reference!$B$2:$N$13,11,FALSE)</f>
        <v>6.75</v>
      </c>
    </row>
    <row r="14" spans="2:8" ht="33.75" customHeight="1">
      <c r="B14" s="13"/>
      <c r="G14" s="7" t="s">
        <v>104</v>
      </c>
      <c r="H14" s="56" t="str">
        <f>HLOOKUP($B$3,Reference!$B$2:$N$13,12,FALSE)</f>
        <v>Sea Level</v>
      </c>
    </row>
    <row r="15" spans="1:2" ht="15">
      <c r="A15" s="6"/>
      <c r="B15" s="13"/>
    </row>
    <row r="16" spans="1:2" ht="15">
      <c r="A16" s="6"/>
      <c r="B16" s="13"/>
    </row>
    <row r="17" spans="1:2" ht="15">
      <c r="A17" s="6"/>
      <c r="B17" s="13"/>
    </row>
    <row r="18" spans="1:2" ht="15.75" thickBot="1">
      <c r="A18" s="6"/>
      <c r="B18" s="13"/>
    </row>
    <row r="19" ht="15.75" thickBot="1">
      <c r="E19" s="24"/>
    </row>
    <row r="20" spans="1:6" ht="15.75" thickBot="1">
      <c r="A20" t="s">
        <v>110</v>
      </c>
      <c r="B20" s="14">
        <f>B11/H11*H12*B9</f>
        <v>12443.165467625899</v>
      </c>
      <c r="E20" s="49">
        <f>SUM(B20:C20)</f>
        <v>12443.165467625899</v>
      </c>
      <c r="F20" t="str">
        <f>IF($B$6="Gallons","Gallons Expended","Pounds Expended")</f>
        <v>Pounds Expended</v>
      </c>
    </row>
    <row r="21" spans="1:5" ht="15">
      <c r="A21" s="6" t="s">
        <v>24</v>
      </c>
      <c r="B21" s="18">
        <f>B20/(B9*B11)</f>
        <v>7.776978417266187</v>
      </c>
      <c r="C21" s="17"/>
      <c r="E21" s="26"/>
    </row>
    <row r="22" spans="1:5" ht="15">
      <c r="A22" s="6" t="s">
        <v>25</v>
      </c>
      <c r="B22" s="18">
        <f>H12</f>
        <v>1081</v>
      </c>
      <c r="C22" s="19"/>
      <c r="E22" s="26"/>
    </row>
    <row r="23" ht="15.75" thickBot="1">
      <c r="E23" s="26"/>
    </row>
    <row r="24" spans="1:6" ht="15.75" thickBot="1">
      <c r="A24" t="s">
        <v>115</v>
      </c>
      <c r="B24" s="55">
        <f>IF($B$6="Gallons",B20*$B$5,$B$5/$H$13*B20)</f>
        <v>23964.614974686916</v>
      </c>
      <c r="C24" s="51"/>
      <c r="E24" s="27">
        <f>SUM(B24:C24)</f>
        <v>23964.614974686916</v>
      </c>
      <c r="F24" t="s">
        <v>2</v>
      </c>
    </row>
    <row r="25" spans="1:5" ht="15">
      <c r="A25" s="6" t="s">
        <v>28</v>
      </c>
      <c r="B25" s="53">
        <f>B24/(B11*B9)</f>
        <v>14.977884359179322</v>
      </c>
      <c r="C25" s="54"/>
      <c r="E25" s="26"/>
    </row>
    <row r="26" spans="1:5" ht="15">
      <c r="A26" s="6" t="s">
        <v>29</v>
      </c>
      <c r="B26" s="53">
        <f>IF($B$6="Gallons",B22*B5,B22*B5/$H$13)</f>
        <v>2081.925925925926</v>
      </c>
      <c r="C26" s="54"/>
      <c r="E26" s="26"/>
    </row>
    <row r="27" ht="15.75" thickBot="1">
      <c r="E27" s="26"/>
    </row>
    <row r="28" spans="1:6" ht="15.75" thickBot="1">
      <c r="A28" t="s">
        <v>119</v>
      </c>
      <c r="B28" s="14">
        <f>B11/H11*2</f>
        <v>11.510791366906474</v>
      </c>
      <c r="E28" s="25">
        <f>SUM(B28:C28)</f>
        <v>11.510791366906474</v>
      </c>
      <c r="F28" t="s">
        <v>3</v>
      </c>
    </row>
    <row r="29" spans="1:6" ht="15.75" thickBot="1">
      <c r="A29" t="s">
        <v>138</v>
      </c>
      <c r="B29" s="14">
        <f>IF(B11&lt;H10,0,ROUND(B11/H10,0)*B13)</f>
        <v>0</v>
      </c>
      <c r="C29" s="15"/>
      <c r="E29" s="25">
        <f>SUM(B29:C29)</f>
        <v>0</v>
      </c>
      <c r="F29" t="s">
        <v>4</v>
      </c>
    </row>
    <row r="30" spans="1:5" ht="15.75" thickBot="1">
      <c r="A30" t="s">
        <v>120</v>
      </c>
      <c r="B30" s="14">
        <f>H8*(1-B12)/H12</f>
        <v>4.608233117483811</v>
      </c>
      <c r="E30" s="25">
        <f>SUM(B30:C30)</f>
        <v>4.608233117483811</v>
      </c>
    </row>
    <row r="33" ht="15.75" thickBot="1"/>
    <row r="34" spans="5:7" ht="18.75">
      <c r="E34" s="127" t="s">
        <v>144</v>
      </c>
      <c r="F34" s="128"/>
      <c r="G34" s="129"/>
    </row>
    <row r="35" spans="5:7" ht="15">
      <c r="E35" s="107">
        <f>VLOOKUP(E34,Technologies!$A$2:$F$10,2,FALSE)</f>
        <v>0.05068</v>
      </c>
      <c r="F35" s="108">
        <f>IF(OR(E34=Technologies!$A$6,E34=Technologies!$A$7,E34=Technologies!$A$8,E34=Technologies!$A$14),VLOOKUP(E34,Technologies!$A$2:$C$15,3,FALSE),$B$5)</f>
        <v>3</v>
      </c>
      <c r="G35" s="109"/>
    </row>
    <row r="36" spans="5:11" ht="15">
      <c r="E36" s="110">
        <f>(1-E35)*E20</f>
        <v>11812.545841726618</v>
      </c>
      <c r="F36" s="122">
        <f>F19</f>
        <v>0</v>
      </c>
      <c r="G36" s="123"/>
      <c r="K36" t="s">
        <v>169</v>
      </c>
    </row>
    <row r="37" spans="5:12" ht="15">
      <c r="E37" s="111"/>
      <c r="F37" s="108"/>
      <c r="G37" s="109"/>
      <c r="K37" t="s">
        <v>171</v>
      </c>
      <c r="L37" t="s">
        <v>172</v>
      </c>
    </row>
    <row r="38" spans="5:12" ht="15.75" thickBot="1">
      <c r="E38" s="113">
        <f>F35/6.75*E36</f>
        <v>5250.020374100719</v>
      </c>
      <c r="F38" s="124">
        <f>F23</f>
        <v>0</v>
      </c>
      <c r="G38" s="125"/>
      <c r="J38" t="s">
        <v>80</v>
      </c>
      <c r="K38" s="114">
        <f>E20</f>
        <v>12443.165467625899</v>
      </c>
      <c r="L38" s="51">
        <f>E24</f>
        <v>23964.614974686916</v>
      </c>
    </row>
    <row r="39" spans="10:12" ht="15.75" thickBot="1">
      <c r="J39" t="str">
        <f>E34</f>
        <v>Algal Biofuel + Composite</v>
      </c>
      <c r="K39" s="114">
        <f>E36</f>
        <v>11812.545841726618</v>
      </c>
      <c r="L39" s="51">
        <f>E38</f>
        <v>5250.020374100719</v>
      </c>
    </row>
    <row r="40" spans="5:12" ht="15">
      <c r="E40" s="119" t="str">
        <f>IF(E34=Technologies!$A$3,"Driveshaft Removal Not Applicable","Also Remove Driveshaft")</f>
        <v>Also Remove Driveshaft</v>
      </c>
      <c r="F40" s="120"/>
      <c r="G40" s="121"/>
      <c r="J40" t="s">
        <v>170</v>
      </c>
      <c r="K40" s="114">
        <f>E42</f>
        <v>11781.437928057554</v>
      </c>
      <c r="L40" s="52">
        <f>E44</f>
        <v>5236.194634692246</v>
      </c>
    </row>
    <row r="41" spans="5:7" ht="15">
      <c r="E41" s="107">
        <f>E35+Technologies!$E$18</f>
        <v>0.053180000000000005</v>
      </c>
      <c r="F41" s="108">
        <f>F35</f>
        <v>3</v>
      </c>
      <c r="G41" s="109"/>
    </row>
    <row r="42" spans="5:7" ht="15">
      <c r="E42" s="110">
        <f>(1-E41)*E20</f>
        <v>11781.437928057554</v>
      </c>
      <c r="F42" s="122">
        <f>F19</f>
        <v>0</v>
      </c>
      <c r="G42" s="123"/>
    </row>
    <row r="43" spans="5:7" ht="15">
      <c r="E43" s="111"/>
      <c r="F43" s="108"/>
      <c r="G43" s="109"/>
    </row>
    <row r="44" spans="5:7" ht="15.75" thickBot="1">
      <c r="E44" s="113">
        <f>F41/6.75*E42</f>
        <v>5236.194634692246</v>
      </c>
      <c r="F44" s="124">
        <f>F23</f>
        <v>0</v>
      </c>
      <c r="G44" s="125"/>
    </row>
  </sheetData>
  <sheetProtection/>
  <mergeCells count="7">
    <mergeCell ref="E40:G40"/>
    <mergeCell ref="F42:G42"/>
    <mergeCell ref="F44:G44"/>
    <mergeCell ref="A1:I1"/>
    <mergeCell ref="E34:G34"/>
    <mergeCell ref="F36:G36"/>
    <mergeCell ref="F38:G38"/>
  </mergeCells>
  <dataValidations count="5">
    <dataValidation type="list" allowBlank="1" showInputMessage="1" showErrorMessage="1" sqref="B8">
      <formula1>Location</formula1>
    </dataValidation>
    <dataValidation type="list" allowBlank="1" showInputMessage="1" showErrorMessage="1" sqref="B6:B7">
      <formula1>Unit</formula1>
    </dataValidation>
    <dataValidation type="list" allowBlank="1" showInputMessage="1" showErrorMessage="1" sqref="B3">
      <formula1>Aircraft_Type</formula1>
    </dataValidation>
    <dataValidation type="list" allowBlank="1" showInputMessage="1" showErrorMessage="1" sqref="B10">
      <formula1>Lift</formula1>
    </dataValidation>
    <dataValidation type="list" allowBlank="1" showInputMessage="1" showErrorMessage="1" sqref="E34">
      <formula1>Technologies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70" zoomScaleNormal="70" zoomScalePageLayoutView="0" workbookViewId="0" topLeftCell="A1">
      <selection activeCell="E15" sqref="E15"/>
    </sheetView>
  </sheetViews>
  <sheetFormatPr defaultColWidth="8.8515625" defaultRowHeight="15"/>
  <cols>
    <col min="1" max="1" width="29.28125" style="0" customWidth="1"/>
    <col min="2" max="2" width="12.421875" style="11" customWidth="1"/>
    <col min="3" max="3" width="5.421875" style="0" customWidth="1"/>
    <col min="4" max="4" width="3.7109375" style="0" customWidth="1"/>
    <col min="5" max="5" width="10.421875" style="23" customWidth="1"/>
    <col min="6" max="6" width="10.421875" style="0" customWidth="1"/>
    <col min="7" max="7" width="25.140625" style="0" customWidth="1"/>
    <col min="8" max="8" width="10.421875" style="1" customWidth="1"/>
  </cols>
  <sheetData>
    <row r="1" spans="1:8" ht="18.75">
      <c r="A1" s="126" t="s">
        <v>156</v>
      </c>
      <c r="B1" s="126"/>
      <c r="C1" s="126"/>
      <c r="D1" s="126"/>
      <c r="E1" s="126"/>
      <c r="F1" s="126"/>
      <c r="G1" s="126"/>
      <c r="H1" s="126"/>
    </row>
    <row r="2" ht="15.75" thickBot="1"/>
    <row r="3" spans="1:8" ht="15.75" thickBot="1">
      <c r="A3" t="s">
        <v>108</v>
      </c>
      <c r="B3" s="100" t="s">
        <v>157</v>
      </c>
      <c r="G3" t="s">
        <v>109</v>
      </c>
      <c r="H3" s="1" t="str">
        <f>B3</f>
        <v>UH-60C</v>
      </c>
    </row>
    <row r="4" spans="7:8" ht="15.75" thickBot="1">
      <c r="G4" s="7" t="s">
        <v>87</v>
      </c>
      <c r="H4" s="8" t="str">
        <f>HLOOKUP(B3,Reference!B2:P13,2,FALSE)</f>
        <v>C2</v>
      </c>
    </row>
    <row r="5" spans="1:8" ht="15.75" thickBot="1">
      <c r="A5" t="s">
        <v>137</v>
      </c>
      <c r="B5" s="101">
        <v>13</v>
      </c>
      <c r="G5" s="7" t="s">
        <v>94</v>
      </c>
      <c r="H5" s="8">
        <f>HLOOKUP(B3,Reference!B2:P13,3,FALSE)</f>
        <v>0</v>
      </c>
    </row>
    <row r="6" spans="1:8" ht="15.75" thickBot="1">
      <c r="A6" t="s">
        <v>111</v>
      </c>
      <c r="B6" s="33" t="s">
        <v>122</v>
      </c>
      <c r="G6" s="7" t="s">
        <v>95</v>
      </c>
      <c r="H6" s="8">
        <f>HLOOKUP(B3,Reference!B2:P13,4,FALSE)</f>
        <v>0</v>
      </c>
    </row>
    <row r="7" spans="2:8" ht="15.75" thickBot="1">
      <c r="B7" s="13"/>
      <c r="G7" s="7" t="s">
        <v>103</v>
      </c>
      <c r="H7" s="8">
        <f>HLOOKUP(B3,Reference!B2:P13,5,FALSE)</f>
        <v>0</v>
      </c>
    </row>
    <row r="8" spans="1:8" ht="15.75" thickBot="1">
      <c r="A8" t="s">
        <v>124</v>
      </c>
      <c r="B8" s="100" t="s">
        <v>132</v>
      </c>
      <c r="G8" s="7" t="s">
        <v>100</v>
      </c>
      <c r="H8" s="8">
        <f>HLOOKUP(B3,Reference!B2:P13,6,FALSE)</f>
        <v>5535</v>
      </c>
    </row>
    <row r="9" spans="1:8" ht="15.75" thickBot="1">
      <c r="A9" t="s">
        <v>123</v>
      </c>
      <c r="B9" s="100">
        <v>5</v>
      </c>
      <c r="G9" s="9" t="s">
        <v>106</v>
      </c>
      <c r="H9" s="10">
        <f>HLOOKUP(B3,Reference!B2:P13,7,FALSE)</f>
        <v>5.120259019426457</v>
      </c>
    </row>
    <row r="10" spans="1:8" ht="15.75" thickBot="1">
      <c r="A10" t="s">
        <v>120</v>
      </c>
      <c r="B10" s="100">
        <v>6</v>
      </c>
      <c r="G10" s="9" t="s">
        <v>107</v>
      </c>
      <c r="H10" s="8">
        <f>HLOOKUP(B3,Reference!B2:P13,8,FALSE)</f>
        <v>1200</v>
      </c>
    </row>
    <row r="11" spans="1:8" ht="15.75" thickBot="1">
      <c r="A11" t="s">
        <v>158</v>
      </c>
      <c r="B11" s="100">
        <v>24</v>
      </c>
      <c r="G11" s="7" t="s">
        <v>96</v>
      </c>
      <c r="H11" s="8">
        <f>HLOOKUP(B3,Reference!B2:P13,9,FALSE)</f>
        <v>139</v>
      </c>
    </row>
    <row r="12" spans="1:8" ht="15.75" thickBot="1">
      <c r="A12" t="s">
        <v>135</v>
      </c>
      <c r="B12" s="102">
        <v>0.1</v>
      </c>
      <c r="G12" s="7" t="s">
        <v>97</v>
      </c>
      <c r="H12" s="8">
        <f>HLOOKUP(B3,Reference!B2:P13,10,FALSE)</f>
        <v>1081</v>
      </c>
    </row>
    <row r="13" spans="1:8" ht="15.75" thickBot="1">
      <c r="A13" t="s">
        <v>0</v>
      </c>
      <c r="B13" s="100">
        <v>0.5</v>
      </c>
      <c r="G13" s="7" t="s">
        <v>98</v>
      </c>
      <c r="H13" s="8">
        <f>HLOOKUP(B3,Reference!B2:P13,11,FALSE)</f>
        <v>6.75</v>
      </c>
    </row>
    <row r="14" spans="5:8" ht="33.75" customHeight="1" thickBot="1">
      <c r="E14" s="24" t="s">
        <v>1</v>
      </c>
      <c r="G14" s="7" t="s">
        <v>104</v>
      </c>
      <c r="H14" s="8" t="str">
        <f>HLOOKUP(B3,Reference!B2:P13,12,FALSE)</f>
        <v>Sea Level</v>
      </c>
    </row>
    <row r="15" spans="1:6" ht="15.75" thickBot="1">
      <c r="A15" t="s">
        <v>110</v>
      </c>
      <c r="B15" s="14">
        <f>IF($B$6="Gallons",$H$12*(MIN(B11,B9*B10))/$H$13,$H$12*(MIN(B11,B9*B10)))</f>
        <v>25944</v>
      </c>
      <c r="E15" s="49">
        <f>SUM(B15:C15)</f>
        <v>25944</v>
      </c>
      <c r="F15" t="str">
        <f>IF(B6="Gallons","Gallons Expended","Pounds Expended")</f>
        <v>Pounds Expended</v>
      </c>
    </row>
    <row r="16" spans="1:5" ht="15">
      <c r="A16" s="6" t="s">
        <v>112</v>
      </c>
      <c r="B16" s="16">
        <f>H11</f>
        <v>139</v>
      </c>
      <c r="C16" s="17"/>
      <c r="E16" s="26"/>
    </row>
    <row r="17" spans="1:5" ht="15">
      <c r="A17" s="6" t="s">
        <v>113</v>
      </c>
      <c r="B17" s="18">
        <f>B15/B11</f>
        <v>1081</v>
      </c>
      <c r="C17" s="19"/>
      <c r="E17" s="26"/>
    </row>
    <row r="18" ht="15.75" thickBot="1">
      <c r="E18" s="26"/>
    </row>
    <row r="19" spans="1:6" ht="15.75" thickBot="1">
      <c r="A19" t="s">
        <v>115</v>
      </c>
      <c r="B19" s="20">
        <f>IF($B$6="Gallons",B15*$B$5,$B$5/$H$13*B15)</f>
        <v>49966.22222222222</v>
      </c>
      <c r="E19" s="27">
        <f>SUM(B19:C19)</f>
        <v>49966.22222222222</v>
      </c>
      <c r="F19" t="s">
        <v>2</v>
      </c>
    </row>
    <row r="20" spans="1:5" ht="15">
      <c r="A20" s="6" t="s">
        <v>116</v>
      </c>
      <c r="B20" s="50">
        <f>H12/H13*B5/H11</f>
        <v>14.977884359179324</v>
      </c>
      <c r="C20" s="17"/>
      <c r="E20" s="26"/>
    </row>
    <row r="21" spans="1:5" ht="15">
      <c r="A21" s="6" t="s">
        <v>117</v>
      </c>
      <c r="B21" s="50">
        <f>B5/H13*H12</f>
        <v>2081.9259259259256</v>
      </c>
      <c r="C21" s="17"/>
      <c r="E21" s="26"/>
    </row>
    <row r="22" ht="15.75" thickBot="1">
      <c r="E22" s="26"/>
    </row>
    <row r="23" spans="1:6" ht="15.75" thickBot="1">
      <c r="A23" t="s">
        <v>119</v>
      </c>
      <c r="B23" s="11">
        <f>B11</f>
        <v>24</v>
      </c>
      <c r="E23" s="25">
        <f>SUM(B23:C23)</f>
        <v>24</v>
      </c>
      <c r="F23" t="s">
        <v>52</v>
      </c>
    </row>
    <row r="24" spans="1:6" ht="15.75" thickBot="1">
      <c r="A24" t="s">
        <v>138</v>
      </c>
      <c r="B24" s="14" t="s">
        <v>159</v>
      </c>
      <c r="C24" s="15"/>
      <c r="E24" s="25">
        <v>0</v>
      </c>
      <c r="F24" t="s">
        <v>4</v>
      </c>
    </row>
    <row r="25" ht="15">
      <c r="H25" s="81"/>
    </row>
    <row r="28" ht="15.75" thickBot="1"/>
    <row r="29" spans="5:7" ht="18.75">
      <c r="E29" s="127" t="s">
        <v>144</v>
      </c>
      <c r="F29" s="128"/>
      <c r="G29" s="129"/>
    </row>
    <row r="30" spans="5:7" ht="15">
      <c r="E30" s="107">
        <f>VLOOKUP(E29,Technologies!$A$2:$F$10,2,FALSE)</f>
        <v>0.05068</v>
      </c>
      <c r="F30" s="108">
        <f>IF(OR(E29=Technologies!$A$6,E29=Technologies!$A$7,E29=Technologies!$A$8,E29=Technologies!$A$14),VLOOKUP(E29,Technologies!$A$2:$C$15,3,FALSE),$B$5)</f>
        <v>3</v>
      </c>
      <c r="G30" s="109"/>
    </row>
    <row r="31" spans="5:11" ht="15">
      <c r="E31" s="110">
        <f>(1-E30)*E15</f>
        <v>24629.158079999997</v>
      </c>
      <c r="F31" s="122" t="str">
        <f>F15</f>
        <v>Pounds Expended</v>
      </c>
      <c r="G31" s="123"/>
      <c r="K31" t="s">
        <v>169</v>
      </c>
    </row>
    <row r="32" spans="5:12" ht="15">
      <c r="E32" s="111"/>
      <c r="F32" s="108"/>
      <c r="G32" s="109"/>
      <c r="K32" t="s">
        <v>171</v>
      </c>
      <c r="L32" t="s">
        <v>172</v>
      </c>
    </row>
    <row r="33" spans="5:12" ht="15.75" thickBot="1">
      <c r="E33" s="113">
        <f>F30/6.75*E31</f>
        <v>10946.292479999998</v>
      </c>
      <c r="F33" s="124" t="str">
        <f>F19</f>
        <v>$ Expended</v>
      </c>
      <c r="G33" s="125"/>
      <c r="J33" t="s">
        <v>80</v>
      </c>
      <c r="K33" s="114">
        <f>E15</f>
        <v>25944</v>
      </c>
      <c r="L33" s="51">
        <f>E19</f>
        <v>49966.22222222222</v>
      </c>
    </row>
    <row r="34" spans="10:12" ht="15.75" thickBot="1">
      <c r="J34" t="str">
        <f>E29</f>
        <v>Algal Biofuel + Composite</v>
      </c>
      <c r="K34" s="114">
        <f>E31</f>
        <v>24629.158079999997</v>
      </c>
      <c r="L34" s="51">
        <f>E33</f>
        <v>10946.292479999998</v>
      </c>
    </row>
    <row r="35" spans="5:12" ht="15">
      <c r="E35" s="119" t="str">
        <f>IF(E29=Technologies!$A$3,"Driveshaft Removal Not Applicable","Also Remove Driveshaft")</f>
        <v>Also Remove Driveshaft</v>
      </c>
      <c r="F35" s="120"/>
      <c r="G35" s="121"/>
      <c r="J35" t="s">
        <v>170</v>
      </c>
      <c r="K35" s="114">
        <f>E37</f>
        <v>24564.29808</v>
      </c>
      <c r="L35" s="52">
        <f>E39</f>
        <v>10917.465813333332</v>
      </c>
    </row>
    <row r="36" spans="5:7" ht="15">
      <c r="E36" s="107">
        <f>E30+Technologies!$E$18</f>
        <v>0.053180000000000005</v>
      </c>
      <c r="F36" s="108">
        <f>F30</f>
        <v>3</v>
      </c>
      <c r="G36" s="109"/>
    </row>
    <row r="37" spans="5:7" ht="15">
      <c r="E37" s="110">
        <f>(1-E36)*E15</f>
        <v>24564.29808</v>
      </c>
      <c r="F37" s="122" t="str">
        <f>F15</f>
        <v>Pounds Expended</v>
      </c>
      <c r="G37" s="123"/>
    </row>
    <row r="38" spans="5:7" ht="15">
      <c r="E38" s="111"/>
      <c r="F38" s="108"/>
      <c r="G38" s="109"/>
    </row>
    <row r="39" spans="5:7" ht="15.75" thickBot="1">
      <c r="E39" s="113">
        <f>F36/6.75*E37</f>
        <v>10917.465813333332</v>
      </c>
      <c r="F39" s="124" t="str">
        <f>F19</f>
        <v>$ Expended</v>
      </c>
      <c r="G39" s="125"/>
    </row>
  </sheetData>
  <sheetProtection/>
  <mergeCells count="7">
    <mergeCell ref="A1:H1"/>
    <mergeCell ref="F39:G39"/>
    <mergeCell ref="E29:G29"/>
    <mergeCell ref="F31:G31"/>
    <mergeCell ref="F33:G33"/>
    <mergeCell ref="E35:G35"/>
    <mergeCell ref="F37:G37"/>
  </mergeCells>
  <dataValidations count="4">
    <dataValidation type="list" allowBlank="1" showInputMessage="1" showErrorMessage="1" sqref="B3">
      <formula1>Helo</formula1>
    </dataValidation>
    <dataValidation type="list" allowBlank="1" showInputMessage="1" showErrorMessage="1" sqref="B6:B7">
      <formula1>Unit</formula1>
    </dataValidation>
    <dataValidation type="list" allowBlank="1" showInputMessage="1" showErrorMessage="1" sqref="B8">
      <formula1>Location</formula1>
    </dataValidation>
    <dataValidation type="list" allowBlank="1" showInputMessage="1" showErrorMessage="1" sqref="E29">
      <formula1>Technologies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zoomScale="70" zoomScaleNormal="70" zoomScalePageLayoutView="70" workbookViewId="0" topLeftCell="A1">
      <selection activeCell="H40" sqref="H40"/>
    </sheetView>
  </sheetViews>
  <sheetFormatPr defaultColWidth="8.8515625" defaultRowHeight="15"/>
  <cols>
    <col min="1" max="1" width="30.421875" style="0" customWidth="1"/>
    <col min="2" max="2" width="12.421875" style="11" customWidth="1"/>
    <col min="3" max="3" width="7.421875" style="0" customWidth="1"/>
    <col min="4" max="4" width="12.421875" style="11" customWidth="1"/>
    <col min="5" max="5" width="5.421875" style="0" customWidth="1"/>
    <col min="6" max="6" width="12.421875" style="11" customWidth="1"/>
    <col min="7" max="7" width="3.7109375" style="0" customWidth="1"/>
    <col min="8" max="8" width="16.00390625" style="23" customWidth="1"/>
    <col min="9" max="9" width="16.7109375" style="0" customWidth="1"/>
    <col min="10" max="10" width="25.140625" style="0" customWidth="1"/>
    <col min="11" max="11" width="10.421875" style="115" customWidth="1"/>
    <col min="12" max="12" width="8.8515625" style="0" customWidth="1"/>
    <col min="13" max="13" width="25.421875" style="0" customWidth="1"/>
    <col min="14" max="14" width="8.8515625" style="0" customWidth="1"/>
    <col min="15" max="15" width="11.140625" style="0" bestFit="1" customWidth="1"/>
    <col min="16" max="16" width="25.140625" style="0" customWidth="1"/>
  </cols>
  <sheetData>
    <row r="1" spans="1:17" ht="18.75">
      <c r="A1" s="126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4:17" ht="15.75" thickBot="1">
      <c r="N2" s="115"/>
      <c r="Q2" s="115"/>
    </row>
    <row r="3" spans="1:17" ht="15.75" thickBot="1">
      <c r="A3" t="s">
        <v>108</v>
      </c>
      <c r="B3" s="100" t="s">
        <v>83</v>
      </c>
      <c r="D3" s="100" t="s">
        <v>84</v>
      </c>
      <c r="F3" s="105" t="s">
        <v>83</v>
      </c>
      <c r="J3" t="s">
        <v>109</v>
      </c>
      <c r="K3" s="115" t="str">
        <f>B3</f>
        <v>CH-53E</v>
      </c>
      <c r="M3" t="s">
        <v>109</v>
      </c>
      <c r="N3" s="115" t="str">
        <f>D3</f>
        <v>CH-53K</v>
      </c>
      <c r="P3" t="s">
        <v>109</v>
      </c>
      <c r="Q3" s="115" t="str">
        <f>F3</f>
        <v>CH-53E</v>
      </c>
    </row>
    <row r="4" spans="10:17" ht="15.75" thickBot="1">
      <c r="J4" s="7" t="s">
        <v>87</v>
      </c>
      <c r="K4" s="56" t="str">
        <f>HLOOKUP(B3,Reference!$B$2:$L$13,2,FALSE)</f>
        <v>Heavy Lift</v>
      </c>
      <c r="M4" s="7" t="s">
        <v>87</v>
      </c>
      <c r="N4" s="56" t="str">
        <f>HLOOKUP($D$3,Reference!$B$2:$L$13,2,FALSE)</f>
        <v>Heavy Lift</v>
      </c>
      <c r="P4" s="7" t="s">
        <v>87</v>
      </c>
      <c r="Q4" s="56" t="str">
        <f>HLOOKUP(F3,Reference!$B$2:$L$13,2,FALSE)</f>
        <v>Heavy Lift</v>
      </c>
    </row>
    <row r="5" spans="1:17" ht="15.75" thickBot="1">
      <c r="A5" t="s">
        <v>137</v>
      </c>
      <c r="B5" s="101">
        <v>13</v>
      </c>
      <c r="D5" s="22">
        <v>13</v>
      </c>
      <c r="F5" s="22">
        <v>13</v>
      </c>
      <c r="J5" s="7" t="s">
        <v>94</v>
      </c>
      <c r="K5" s="8">
        <f>HLOOKUP(B3,Reference!B2:L13,3,FALSE)</f>
        <v>33226</v>
      </c>
      <c r="M5" s="7" t="s">
        <v>94</v>
      </c>
      <c r="N5" s="56">
        <f>HLOOKUP($D$3,Reference!$B$2:$L$13,3,FALSE)</f>
        <v>0</v>
      </c>
      <c r="P5" s="7" t="s">
        <v>94</v>
      </c>
      <c r="Q5" s="56">
        <f>HLOOKUP(F3,Reference!$B$2:$L$13,3,FALSE)</f>
        <v>33226</v>
      </c>
    </row>
    <row r="6" spans="1:17" ht="15.75" thickBot="1">
      <c r="A6" t="s">
        <v>111</v>
      </c>
      <c r="B6" s="12" t="s">
        <v>122</v>
      </c>
      <c r="D6" s="21" t="s">
        <v>122</v>
      </c>
      <c r="F6" s="21" t="s">
        <v>122</v>
      </c>
      <c r="J6" s="7" t="s">
        <v>95</v>
      </c>
      <c r="K6" s="8">
        <f>HLOOKUP(B3,Reference!B2:L13,4,FALSE)</f>
        <v>40274</v>
      </c>
      <c r="M6" s="7" t="s">
        <v>95</v>
      </c>
      <c r="N6" s="56">
        <f>HLOOKUP($D$3,Reference!$B$2:$L$13,4,FALSE)</f>
        <v>0</v>
      </c>
      <c r="P6" s="7" t="s">
        <v>95</v>
      </c>
      <c r="Q6" s="56">
        <f>HLOOKUP(F3,Reference!$B$2:$L$13,4,FALSE)</f>
        <v>40274</v>
      </c>
    </row>
    <row r="7" spans="2:17" ht="15.75" thickBot="1">
      <c r="B7" s="13"/>
      <c r="D7" s="13"/>
      <c r="F7" s="13"/>
      <c r="J7" s="7" t="s">
        <v>103</v>
      </c>
      <c r="K7" s="8">
        <f>HLOOKUP(B3,Reference!B2:L13,5,FALSE)</f>
        <v>37</v>
      </c>
      <c r="M7" s="7" t="s">
        <v>103</v>
      </c>
      <c r="N7" s="56">
        <f>HLOOKUP($D$3,Reference!$B$2:$L$13,5,FALSE)</f>
        <v>0</v>
      </c>
      <c r="P7" s="7" t="s">
        <v>103</v>
      </c>
      <c r="Q7" s="56">
        <f>HLOOKUP(F3,Reference!$B$2:$L$13,5,FALSE)</f>
        <v>37</v>
      </c>
    </row>
    <row r="8" spans="1:17" ht="15.75" thickBot="1">
      <c r="A8" t="s">
        <v>124</v>
      </c>
      <c r="B8" s="100" t="s">
        <v>129</v>
      </c>
      <c r="D8" s="100" t="s">
        <v>129</v>
      </c>
      <c r="F8" s="100" t="s">
        <v>129</v>
      </c>
      <c r="J8" s="7" t="s">
        <v>100</v>
      </c>
      <c r="K8" s="8">
        <f>HLOOKUP(B3,Reference!B2:L13,6,FALSE)</f>
        <v>15369.75</v>
      </c>
      <c r="M8" s="7" t="s">
        <v>100</v>
      </c>
      <c r="N8" s="56">
        <f>HLOOKUP($D$3,Reference!$B$2:$L$13,6,FALSE)</f>
        <v>0</v>
      </c>
      <c r="P8" s="7" t="s">
        <v>100</v>
      </c>
      <c r="Q8" s="56">
        <f>HLOOKUP(F3,Reference!$B$2:$L$13,6,FALSE)</f>
        <v>15369.75</v>
      </c>
    </row>
    <row r="9" spans="1:17" ht="15.75" thickBot="1">
      <c r="A9" t="s">
        <v>123</v>
      </c>
      <c r="B9" s="100">
        <v>13</v>
      </c>
      <c r="D9" s="100">
        <v>7</v>
      </c>
      <c r="F9" s="100">
        <v>4</v>
      </c>
      <c r="J9" s="9" t="s">
        <v>106</v>
      </c>
      <c r="K9" s="10">
        <f>HLOOKUP(B3,Reference!B2:L13,7,FALSE)</f>
        <v>5.54</v>
      </c>
      <c r="M9" s="9" t="s">
        <v>106</v>
      </c>
      <c r="N9" s="56">
        <f>HLOOKUP($D$3,Reference!$B$2:$L$13,7,FALSE)</f>
        <v>0</v>
      </c>
      <c r="P9" s="9" t="s">
        <v>106</v>
      </c>
      <c r="Q9" s="56">
        <f>HLOOKUP(F3,Reference!$B$2:$L$13,7,FALSE)</f>
        <v>5.54</v>
      </c>
    </row>
    <row r="10" spans="1:17" ht="15.75" thickBot="1">
      <c r="A10" t="s">
        <v>20</v>
      </c>
      <c r="B10" s="100" t="s">
        <v>6</v>
      </c>
      <c r="D10" s="100" t="s">
        <v>7</v>
      </c>
      <c r="F10" s="100" t="s">
        <v>33</v>
      </c>
      <c r="J10" s="9" t="s">
        <v>107</v>
      </c>
      <c r="K10" s="8">
        <f>HLOOKUP(B3,Reference!B2:L13,8,FALSE)</f>
        <v>580</v>
      </c>
      <c r="M10" s="9" t="s">
        <v>107</v>
      </c>
      <c r="N10" s="56">
        <f>HLOOKUP($D$3,Reference!$B$2:$L$13,8,FALSE)</f>
        <v>0</v>
      </c>
      <c r="P10" s="9" t="s">
        <v>107</v>
      </c>
      <c r="Q10" s="56">
        <f>HLOOKUP(F3,Reference!$B$2:$L$13,8,FALSE)</f>
        <v>580</v>
      </c>
    </row>
    <row r="11" spans="1:17" ht="15.75" thickBot="1">
      <c r="A11" t="s">
        <v>21</v>
      </c>
      <c r="B11" s="100">
        <v>260</v>
      </c>
      <c r="D11" s="100">
        <v>260</v>
      </c>
      <c r="F11" s="100">
        <v>260</v>
      </c>
      <c r="J11" s="7" t="s">
        <v>96</v>
      </c>
      <c r="K11" s="8">
        <f>HLOOKUP(B3,Reference!B2:L13,9,FALSE)</f>
        <v>144</v>
      </c>
      <c r="M11" s="7" t="s">
        <v>96</v>
      </c>
      <c r="N11" s="56">
        <f>HLOOKUP($D$3,Reference!$B$2:$L$13,9,FALSE)</f>
        <v>170</v>
      </c>
      <c r="P11" s="7" t="s">
        <v>96</v>
      </c>
      <c r="Q11" s="56">
        <f>HLOOKUP(F3,Reference!$B$2:$L$13,9,FALSE)</f>
        <v>144</v>
      </c>
    </row>
    <row r="12" spans="1:17" ht="15.75" thickBot="1">
      <c r="A12" t="s">
        <v>135</v>
      </c>
      <c r="B12" s="102">
        <v>0.1</v>
      </c>
      <c r="D12" s="102">
        <v>0.1</v>
      </c>
      <c r="F12" s="102">
        <v>0.1</v>
      </c>
      <c r="J12" s="7" t="s">
        <v>97</v>
      </c>
      <c r="K12" s="8">
        <f>HLOOKUP(B3,Reference!B2:L13,10,FALSE)</f>
        <v>4008</v>
      </c>
      <c r="M12" s="7" t="s">
        <v>97</v>
      </c>
      <c r="N12" s="56">
        <f>HLOOKUP($D$3,Reference!$B$2:$L$13,10,FALSE)</f>
        <v>4780</v>
      </c>
      <c r="P12" s="7" t="s">
        <v>97</v>
      </c>
      <c r="Q12" s="56">
        <f>HLOOKUP(F3,Reference!$B$2:$L$13,10,FALSE)</f>
        <v>4008</v>
      </c>
    </row>
    <row r="13" spans="1:17" ht="15.75" thickBot="1">
      <c r="A13" t="s">
        <v>0</v>
      </c>
      <c r="B13" s="100">
        <v>0.5</v>
      </c>
      <c r="D13" s="100">
        <v>0.5</v>
      </c>
      <c r="F13" s="100">
        <v>0.5</v>
      </c>
      <c r="J13" s="7" t="s">
        <v>98</v>
      </c>
      <c r="K13" s="8">
        <f>HLOOKUP(B3,Reference!B2:L13,11,FALSE)</f>
        <v>6.75</v>
      </c>
      <c r="M13" s="7" t="s">
        <v>98</v>
      </c>
      <c r="N13" s="56">
        <f>HLOOKUP($D$3,Reference!$B$2:$L$13,11,FALSE)</f>
        <v>6.75</v>
      </c>
      <c r="P13" s="7" t="s">
        <v>98</v>
      </c>
      <c r="Q13" s="56">
        <f>HLOOKUP(F3,Reference!$B$2:$L$13,11,FALSE)</f>
        <v>6.75</v>
      </c>
    </row>
    <row r="14" spans="2:17" ht="33.75" customHeight="1">
      <c r="B14" s="13"/>
      <c r="D14" s="13"/>
      <c r="F14" s="13"/>
      <c r="J14" s="7" t="s">
        <v>104</v>
      </c>
      <c r="K14" s="8" t="str">
        <f>HLOOKUP(B3,Reference!B2:L13,12,FALSE)</f>
        <v>Sea Level</v>
      </c>
      <c r="M14" s="7" t="s">
        <v>104</v>
      </c>
      <c r="N14" s="56" t="str">
        <f>HLOOKUP($D$3,Reference!$B$2:$L$13,12,FALSE)</f>
        <v>Sea Level</v>
      </c>
      <c r="P14" s="7" t="s">
        <v>104</v>
      </c>
      <c r="Q14" s="56" t="str">
        <f>HLOOKUP(F3,Reference!$B$2:$L$13,12,FALSE)</f>
        <v>Sea Level</v>
      </c>
    </row>
    <row r="15" spans="1:14" ht="15.75" thickBot="1">
      <c r="A15" t="s">
        <v>22</v>
      </c>
      <c r="B15" s="13"/>
      <c r="D15" s="13"/>
      <c r="F15" s="13"/>
      <c r="N15" s="52"/>
    </row>
    <row r="16" spans="1:11" ht="15.75" thickBot="1">
      <c r="A16" s="35" t="s">
        <v>8</v>
      </c>
      <c r="B16" s="36" t="s">
        <v>6</v>
      </c>
      <c r="C16" s="37"/>
      <c r="D16" s="36" t="s">
        <v>7</v>
      </c>
      <c r="E16" s="37"/>
      <c r="F16" s="36" t="s">
        <v>33</v>
      </c>
      <c r="G16" s="37"/>
      <c r="H16" s="38"/>
      <c r="J16" s="28" t="s">
        <v>13</v>
      </c>
      <c r="K16" s="29"/>
    </row>
    <row r="17" spans="1:11" ht="15.75" thickBot="1">
      <c r="A17" s="39" t="s">
        <v>11</v>
      </c>
      <c r="B17" s="32">
        <f>VLOOKUP(B16,$J$17:$K$20,2,TRUE)</f>
        <v>110</v>
      </c>
      <c r="C17" s="40"/>
      <c r="D17" s="32">
        <f>VLOOKUP(D16,$J$17:$K$20,2,FALSE)</f>
        <v>80</v>
      </c>
      <c r="E17" s="40"/>
      <c r="F17" s="32">
        <f>VLOOKUP(F16,$J$17:$K$20,2,TRUE)</f>
        <v>125</v>
      </c>
      <c r="G17" s="40"/>
      <c r="H17" s="41"/>
      <c r="J17" s="30" t="s">
        <v>10</v>
      </c>
      <c r="K17" s="31">
        <f>K11</f>
        <v>144</v>
      </c>
    </row>
    <row r="18" spans="1:11" ht="15">
      <c r="A18" s="39" t="s">
        <v>15</v>
      </c>
      <c r="B18" s="42">
        <f>IF(B$6="Gallons",B$11/B17*$K$12/$K$13,B$11/B17*$K$12)</f>
        <v>9473.454545454546</v>
      </c>
      <c r="C18" s="42"/>
      <c r="D18" s="42">
        <f>IF(D$6="Gallons",D$11/D17*N12/$K$13,D$11/D17*N12)</f>
        <v>15535</v>
      </c>
      <c r="E18" s="42"/>
      <c r="F18" s="42">
        <f>IF(F$6="Gallons",F$11/F17*Q12/$K$13,F$11/F17*Q12)</f>
        <v>8336.64</v>
      </c>
      <c r="G18" s="40"/>
      <c r="H18" s="41"/>
      <c r="J18" s="30" t="s">
        <v>33</v>
      </c>
      <c r="K18" s="31">
        <v>125</v>
      </c>
    </row>
    <row r="19" spans="1:11" ht="15">
      <c r="A19" s="43" t="s">
        <v>112</v>
      </c>
      <c r="B19" s="34">
        <f>IF(B6="Gallons",$K$12/$K$13/B17,$K$12/B17)</f>
        <v>36.43636363636364</v>
      </c>
      <c r="C19" s="34"/>
      <c r="D19" s="34">
        <f>IF(D6="Gallons",$K$12/$K$13/D17,$K$12/D17)</f>
        <v>50.1</v>
      </c>
      <c r="E19" s="34"/>
      <c r="F19" s="34">
        <f>IF(F6="Gallons",$K$12/$K$13/F17,$K$12/F17)</f>
        <v>32.064</v>
      </c>
      <c r="G19" s="40"/>
      <c r="H19" s="41"/>
      <c r="J19" s="30" t="s">
        <v>6</v>
      </c>
      <c r="K19" s="31">
        <v>110</v>
      </c>
    </row>
    <row r="20" spans="1:11" ht="15">
      <c r="A20" s="43" t="s">
        <v>113</v>
      </c>
      <c r="B20" s="34">
        <f>$K$12</f>
        <v>4008</v>
      </c>
      <c r="C20" s="34"/>
      <c r="D20" s="34">
        <f>$K$12</f>
        <v>4008</v>
      </c>
      <c r="E20" s="34"/>
      <c r="F20" s="34">
        <f>$K$12</f>
        <v>4008</v>
      </c>
      <c r="G20" s="40"/>
      <c r="H20" s="41"/>
      <c r="J20" s="30" t="s">
        <v>7</v>
      </c>
      <c r="K20" s="31">
        <v>80</v>
      </c>
    </row>
    <row r="21" spans="1:8" ht="15">
      <c r="A21" s="43" t="s">
        <v>114</v>
      </c>
      <c r="B21" s="34">
        <f>B18/VLOOKUP(B16,$J$23:$K$27,2,TRUE)</f>
        <v>0.20493779573085594</v>
      </c>
      <c r="C21" s="34"/>
      <c r="D21" s="34">
        <f>D18/VLOOKUP(D16,$J$23:$K$27,2,FALSE)</f>
        <v>0.2623003410664235</v>
      </c>
      <c r="E21" s="34"/>
      <c r="F21" s="34">
        <f>F18/VLOOKUP(F16,$J$23:$K$27,2,TRUE)</f>
        <v>0.21808821221158373</v>
      </c>
      <c r="G21" s="40"/>
      <c r="H21" s="41"/>
    </row>
    <row r="22" spans="1:10" ht="15">
      <c r="A22" s="39" t="s">
        <v>16</v>
      </c>
      <c r="B22" s="42">
        <f>B$11/B17</f>
        <v>2.3636363636363638</v>
      </c>
      <c r="C22" s="42"/>
      <c r="D22" s="42">
        <f>D$11/D17</f>
        <v>3.25</v>
      </c>
      <c r="E22" s="42"/>
      <c r="F22" s="42">
        <f>F$11/F17</f>
        <v>2.08</v>
      </c>
      <c r="G22" s="40"/>
      <c r="H22" s="41"/>
      <c r="J22" s="28" t="s">
        <v>23</v>
      </c>
    </row>
    <row r="23" spans="1:11" ht="15">
      <c r="A23" s="39" t="s">
        <v>138</v>
      </c>
      <c r="B23" s="42">
        <f>IF(B24&gt;(B22+B32),"N/A",B13)</f>
        <v>0.5</v>
      </c>
      <c r="C23" s="42"/>
      <c r="D23" s="42">
        <f>IF(D24&gt;(D22+D32),"N/A",D13)</f>
        <v>0.5</v>
      </c>
      <c r="E23" s="42"/>
      <c r="F23" s="42">
        <f>IF(F24&gt;(F22+F32),"N/A",F13)</f>
        <v>0.5</v>
      </c>
      <c r="G23" s="40"/>
      <c r="H23" s="41"/>
      <c r="J23" s="30" t="s">
        <v>10</v>
      </c>
      <c r="K23" s="31">
        <f>K5+K29</f>
        <v>33226</v>
      </c>
    </row>
    <row r="24" spans="1:11" ht="15">
      <c r="A24" s="39" t="s">
        <v>120</v>
      </c>
      <c r="B24" s="42">
        <f>$K$8*(1-B12)/$K$12</f>
        <v>3.4512911676646705</v>
      </c>
      <c r="C24" s="42"/>
      <c r="D24" s="42">
        <f>$K$8*(1-D12)/$K$12</f>
        <v>3.4512911676646705</v>
      </c>
      <c r="E24" s="42"/>
      <c r="F24" s="42">
        <f>$K$8*(1-F12)/$K$12</f>
        <v>3.4512911676646705</v>
      </c>
      <c r="G24" s="40"/>
      <c r="H24" s="41"/>
      <c r="J24" s="30" t="s">
        <v>33</v>
      </c>
      <c r="K24" s="31">
        <f>K5+K30</f>
        <v>38226</v>
      </c>
    </row>
    <row r="25" spans="1:11" ht="15.75" thickBot="1">
      <c r="A25" s="43"/>
      <c r="B25" s="44"/>
      <c r="C25" s="40"/>
      <c r="D25" s="44"/>
      <c r="E25" s="40"/>
      <c r="F25" s="44"/>
      <c r="G25" s="40"/>
      <c r="H25" s="41"/>
      <c r="J25" s="30" t="s">
        <v>6</v>
      </c>
      <c r="K25" s="31">
        <f>K5+K31</f>
        <v>46226</v>
      </c>
    </row>
    <row r="26" spans="1:11" ht="15.75" thickBot="1">
      <c r="A26" s="39" t="s">
        <v>9</v>
      </c>
      <c r="B26" s="36" t="s">
        <v>10</v>
      </c>
      <c r="C26" s="40"/>
      <c r="D26" s="36" t="s">
        <v>10</v>
      </c>
      <c r="E26" s="40"/>
      <c r="F26" s="36" t="s">
        <v>10</v>
      </c>
      <c r="G26" s="40"/>
      <c r="H26" s="41"/>
      <c r="J26" s="30" t="s">
        <v>7</v>
      </c>
      <c r="K26" s="31">
        <f>K5+K32</f>
        <v>59226</v>
      </c>
    </row>
    <row r="27" spans="1:8" ht="15.75" thickBot="1">
      <c r="A27" s="39" t="s">
        <v>12</v>
      </c>
      <c r="B27" s="32">
        <f>VLOOKUP(B26,$J$17:$K$20,2,TRUE)</f>
        <v>144</v>
      </c>
      <c r="C27" s="40"/>
      <c r="D27" s="32">
        <f>VLOOKUP(D26,$J$17:$K$20,2,TRUE)</f>
        <v>144</v>
      </c>
      <c r="E27" s="40"/>
      <c r="F27" s="32">
        <f>VLOOKUP(F26,$J$17:$K$20,2,TRUE)</f>
        <v>144</v>
      </c>
      <c r="G27" s="40"/>
      <c r="H27" s="41"/>
    </row>
    <row r="28" spans="1:10" ht="15">
      <c r="A28" s="39" t="s">
        <v>17</v>
      </c>
      <c r="B28" s="42">
        <f>IF(B$6="Gallons",B$11/B27*$K$12/$K$13,B$11/B27*$K$12)</f>
        <v>7236.666666666667</v>
      </c>
      <c r="C28" s="42"/>
      <c r="D28" s="42">
        <f>IF(D$6="Gallons",D$11/D27*N12/$K$13,D$11/D27*N12)</f>
        <v>8630.555555555557</v>
      </c>
      <c r="E28" s="42"/>
      <c r="F28" s="42">
        <f>IF(F$6="Gallons",F$11/F27*Q12/$K$13,F$11/F27*Q12)</f>
        <v>7236.666666666667</v>
      </c>
      <c r="G28" s="40"/>
      <c r="H28" s="41"/>
      <c r="J28" s="28" t="s">
        <v>37</v>
      </c>
    </row>
    <row r="29" spans="1:11" ht="15">
      <c r="A29" s="43" t="s">
        <v>112</v>
      </c>
      <c r="B29" s="34">
        <f>IF(B16="Gallons",$K$12/$K$13/B27,$K$12/B27)</f>
        <v>27.833333333333332</v>
      </c>
      <c r="C29" s="34"/>
      <c r="D29" s="34">
        <f>IF(D16="Gallons",$K$12/$K$13/D27,$K$12/D27)</f>
        <v>27.833333333333332</v>
      </c>
      <c r="E29" s="34"/>
      <c r="F29" s="34">
        <f>IF(F16="Gallons",$K$12/$K$13/F27,$K$12/F27)</f>
        <v>27.833333333333332</v>
      </c>
      <c r="G29" s="40"/>
      <c r="H29" s="41"/>
      <c r="J29" s="30" t="s">
        <v>10</v>
      </c>
      <c r="K29" s="31">
        <v>0</v>
      </c>
    </row>
    <row r="30" spans="1:11" ht="15">
      <c r="A30" s="43" t="s">
        <v>113</v>
      </c>
      <c r="B30" s="34">
        <f>$K$12</f>
        <v>4008</v>
      </c>
      <c r="C30" s="34"/>
      <c r="D30" s="34">
        <f>$K$12</f>
        <v>4008</v>
      </c>
      <c r="E30" s="34"/>
      <c r="F30" s="34">
        <f>$K$12</f>
        <v>4008</v>
      </c>
      <c r="G30" s="40"/>
      <c r="H30" s="41"/>
      <c r="J30" s="30" t="s">
        <v>33</v>
      </c>
      <c r="K30" s="31">
        <v>5000</v>
      </c>
    </row>
    <row r="31" spans="1:11" ht="15">
      <c r="A31" s="43" t="s">
        <v>114</v>
      </c>
      <c r="B31" s="34">
        <f>B28/VLOOKUP(B26,$J$23:$K$27,2,TRUE)</f>
        <v>0.2178013202512089</v>
      </c>
      <c r="C31" s="34"/>
      <c r="D31" s="34">
        <f>D28/VLOOKUP(D26,$J$23:$K$27,2,TRUE)</f>
        <v>0.2597530715570805</v>
      </c>
      <c r="E31" s="34"/>
      <c r="F31" s="34">
        <f>F28/VLOOKUP(F26,$J$23:$K$27,2,TRUE)</f>
        <v>0.2178013202512089</v>
      </c>
      <c r="G31" s="40"/>
      <c r="H31" s="41"/>
      <c r="J31" s="30" t="s">
        <v>6</v>
      </c>
      <c r="K31" s="31">
        <v>13000</v>
      </c>
    </row>
    <row r="32" spans="1:11" ht="15">
      <c r="A32" s="39" t="s">
        <v>18</v>
      </c>
      <c r="B32" s="42">
        <f>B$11/B27</f>
        <v>1.8055555555555556</v>
      </c>
      <c r="C32" s="42"/>
      <c r="D32" s="42">
        <f>D$11/D27</f>
        <v>1.8055555555555556</v>
      </c>
      <c r="E32" s="42"/>
      <c r="F32" s="42">
        <f>F$11/F27</f>
        <v>1.8055555555555556</v>
      </c>
      <c r="G32" s="40"/>
      <c r="H32" s="41"/>
      <c r="J32" s="30" t="s">
        <v>7</v>
      </c>
      <c r="K32" s="31">
        <v>26000</v>
      </c>
    </row>
    <row r="33" spans="1:8" ht="15">
      <c r="A33" s="39" t="s">
        <v>138</v>
      </c>
      <c r="B33" s="42" t="str">
        <f>IF(B34&gt;B32,"N/A",B32/B34)</f>
        <v>N/A</v>
      </c>
      <c r="C33" s="42"/>
      <c r="D33" s="42" t="str">
        <f>IF(D34&gt;D32,"N/A",D32/D34)</f>
        <v>N/A</v>
      </c>
      <c r="E33" s="42"/>
      <c r="F33" s="42" t="str">
        <f>IF(F34&gt;F32,"N/A",F32/F34)</f>
        <v>N/A</v>
      </c>
      <c r="G33" s="40"/>
      <c r="H33" s="41"/>
    </row>
    <row r="34" spans="1:8" ht="15.75" thickBot="1">
      <c r="A34" s="45" t="s">
        <v>120</v>
      </c>
      <c r="B34" s="46">
        <f>$K$8*(1-B12)/$K$12</f>
        <v>3.4512911676646705</v>
      </c>
      <c r="C34" s="46"/>
      <c r="D34" s="46">
        <f>$K$8*(1-D12)/$K$12</f>
        <v>3.4512911676646705</v>
      </c>
      <c r="E34" s="46"/>
      <c r="F34" s="46">
        <f>$K$8*(1-F12)/$K$12</f>
        <v>3.4512911676646705</v>
      </c>
      <c r="G34" s="47"/>
      <c r="H34" s="48"/>
    </row>
    <row r="35" spans="1:6" ht="15">
      <c r="A35" s="6"/>
      <c r="B35" s="13"/>
      <c r="D35" s="13"/>
      <c r="F35" s="13"/>
    </row>
    <row r="36" spans="1:6" ht="15">
      <c r="A36" s="6"/>
      <c r="B36" s="13"/>
      <c r="D36" s="13"/>
      <c r="F36" s="13"/>
    </row>
    <row r="37" spans="1:6" ht="15">
      <c r="A37" s="6"/>
      <c r="B37" s="13"/>
      <c r="D37" s="13"/>
      <c r="F37" s="13"/>
    </row>
    <row r="38" spans="1:6" ht="15.75" thickBot="1">
      <c r="A38" s="6"/>
      <c r="B38" s="13"/>
      <c r="D38" s="13"/>
      <c r="F38" s="13"/>
    </row>
    <row r="39" ht="30.75" thickBot="1">
      <c r="H39" s="24" t="s">
        <v>14</v>
      </c>
    </row>
    <row r="40" spans="1:9" ht="15.75" thickBot="1">
      <c r="A40" t="s">
        <v>110</v>
      </c>
      <c r="B40" s="14">
        <f>(B18+B28)*B9</f>
        <v>217231.57575757575</v>
      </c>
      <c r="D40" s="14">
        <f>(D18+D28)*D9</f>
        <v>169158.88888888888</v>
      </c>
      <c r="F40" s="14">
        <f>(F18+F28)*F9</f>
        <v>62293.22666666667</v>
      </c>
      <c r="H40" s="49">
        <f>SUM(B40:F40)</f>
        <v>448683.6913131313</v>
      </c>
      <c r="I40" t="str">
        <f>IF($B$6="Gallons","Gallons Expended","Pounds Expended")</f>
        <v>Pounds Expended</v>
      </c>
    </row>
    <row r="41" spans="1:8" ht="15">
      <c r="A41" s="6" t="s">
        <v>24</v>
      </c>
      <c r="B41" s="18">
        <f>AVERAGE(B19,B29)</f>
        <v>32.13484848484848</v>
      </c>
      <c r="C41" s="17"/>
      <c r="D41" s="18">
        <f>AVERAGE(D19,D29)</f>
        <v>38.96666666666667</v>
      </c>
      <c r="E41" s="17"/>
      <c r="F41" s="18">
        <f>AVERAGE(F19,F29)</f>
        <v>29.948666666666668</v>
      </c>
      <c r="H41" s="26"/>
    </row>
    <row r="42" spans="1:8" ht="15">
      <c r="A42" s="6" t="s">
        <v>25</v>
      </c>
      <c r="B42" s="18">
        <f>AVERAGE(B20,B30)</f>
        <v>4008</v>
      </c>
      <c r="C42" s="19"/>
      <c r="D42" s="18">
        <f>AVERAGE(D20,D30)</f>
        <v>4008</v>
      </c>
      <c r="E42" s="19"/>
      <c r="F42" s="18">
        <f>AVERAGE(F20,F30)</f>
        <v>4008</v>
      </c>
      <c r="H42" s="26"/>
    </row>
    <row r="43" spans="1:8" ht="15">
      <c r="A43" s="6" t="s">
        <v>26</v>
      </c>
      <c r="B43" s="18">
        <f>AVERAGE(B21,B31)</f>
        <v>0.2113695579910324</v>
      </c>
      <c r="C43" s="17"/>
      <c r="D43" s="18">
        <f>AVERAGE(D21,D31)</f>
        <v>0.261026706311752</v>
      </c>
      <c r="E43" s="17"/>
      <c r="F43" s="18">
        <f>AVERAGE(F21,F31)</f>
        <v>0.2179447662313963</v>
      </c>
      <c r="H43" s="26"/>
    </row>
    <row r="44" ht="15.75" thickBot="1">
      <c r="H44" s="26"/>
    </row>
    <row r="45" spans="1:9" ht="15.75" thickBot="1">
      <c r="A45" t="s">
        <v>115</v>
      </c>
      <c r="B45" s="55">
        <f>IF($B$6="Gallons",B40*$B$5,$B$5/$K$13*B40)</f>
        <v>418371.92368125694</v>
      </c>
      <c r="C45" s="51"/>
      <c r="D45" s="55">
        <f>IF($B$6="Gallons",D40*$B$5,$B$5/$K$13*D40)</f>
        <v>325787.4897119341</v>
      </c>
      <c r="E45" s="51"/>
      <c r="F45" s="55">
        <f>IF($B$6="Gallons",F40*$B$5,$B$5/$K$13*F40)</f>
        <v>119972.14024691358</v>
      </c>
      <c r="H45" s="27">
        <f>SUM(B45:F45)</f>
        <v>864131.5536401046</v>
      </c>
      <c r="I45" t="s">
        <v>2</v>
      </c>
    </row>
    <row r="46" spans="1:8" ht="15">
      <c r="A46" s="6" t="s">
        <v>28</v>
      </c>
      <c r="B46" s="53">
        <f>B45/(B11*B9)</f>
        <v>123.77867564534229</v>
      </c>
      <c r="C46" s="54"/>
      <c r="D46" s="53">
        <f>D45/(D11*D9)</f>
        <v>179.00411522633743</v>
      </c>
      <c r="E46" s="54"/>
      <c r="F46" s="53">
        <f>F45/(F11*F9)</f>
        <v>115.35782716049383</v>
      </c>
      <c r="H46" s="26"/>
    </row>
    <row r="47" spans="1:8" ht="15">
      <c r="A47" s="6" t="s">
        <v>29</v>
      </c>
      <c r="B47" s="53">
        <f>IF($B$6="Gallons",B42*B5,B42*B5/$K$13)</f>
        <v>7719.111111111111</v>
      </c>
      <c r="C47" s="54"/>
      <c r="D47" s="53">
        <f>IF($B$6="Gallons",D42*D5,D42*D5/$K$13)</f>
        <v>7719.111111111111</v>
      </c>
      <c r="E47" s="54"/>
      <c r="F47" s="53">
        <f>IF($B$6="Gallons",F42*F5,F42*F5/$K$13)</f>
        <v>7719.111111111111</v>
      </c>
      <c r="H47" s="26"/>
    </row>
    <row r="48" spans="1:8" ht="15">
      <c r="A48" s="6" t="s">
        <v>30</v>
      </c>
      <c r="B48" s="50">
        <f>B45/(B9*AVERAGE(VLOOKUP(B16,$J$23:$K$26,2,FALSE)+VLOOKUP(B26,$J$23:$K$26,2,FALSE)))</f>
        <v>0.40505532482239587</v>
      </c>
      <c r="C48" s="54"/>
      <c r="D48" s="50">
        <f>D45/(D9*AVERAGE(VLOOKUP(D16,$J$23:$K$26,2,FALSE)+VLOOKUP(D26,$J$23:$K$26,2,FALSE)))</f>
        <v>0.5034079301567055</v>
      </c>
      <c r="E48" s="54"/>
      <c r="F48" s="50">
        <f>F45/(F9*AVERAGE(VLOOKUP(F16,$J$23:$K$26,2,FALSE)+VLOOKUP(F26,$J$23:$K$26,2,FALSE)))</f>
        <v>0.4197648080071712</v>
      </c>
      <c r="H48" s="26"/>
    </row>
    <row r="49" ht="15.75" thickBot="1">
      <c r="H49" s="26"/>
    </row>
    <row r="50" spans="1:9" ht="15.75" thickBot="1">
      <c r="A50" t="s">
        <v>119</v>
      </c>
      <c r="B50" s="14">
        <f>B22+B32</f>
        <v>4.16919191919192</v>
      </c>
      <c r="D50" s="14">
        <f>D22+D32</f>
        <v>5.055555555555555</v>
      </c>
      <c r="F50" s="14">
        <f>F22+F32</f>
        <v>3.8855555555555554</v>
      </c>
      <c r="H50" s="25">
        <f>SUM(B50:F50)</f>
        <v>13.11030303030303</v>
      </c>
      <c r="I50" t="s">
        <v>3</v>
      </c>
    </row>
    <row r="51" spans="1:9" ht="15.75" thickBot="1">
      <c r="A51" t="s">
        <v>138</v>
      </c>
      <c r="B51" s="14">
        <f>IF(B23="N/A","N/A",B23)</f>
        <v>0.5</v>
      </c>
      <c r="C51" s="15"/>
      <c r="D51" s="14">
        <f>IF(D23="N/A","N/A",D23)</f>
        <v>0.5</v>
      </c>
      <c r="E51" s="15"/>
      <c r="F51" s="14">
        <f>IF(F23="N/A","N/A",F23)</f>
        <v>0.5</v>
      </c>
      <c r="H51" s="25">
        <f>SUM(B51:F51)</f>
        <v>1.5</v>
      </c>
      <c r="I51" t="s">
        <v>4</v>
      </c>
    </row>
    <row r="52" spans="1:8" ht="15.75" thickBot="1">
      <c r="A52" t="s">
        <v>120</v>
      </c>
      <c r="B52" s="14">
        <f>K8*(1-F12)/K12</f>
        <v>3.4512911676646705</v>
      </c>
      <c r="D52" s="14">
        <f>D34</f>
        <v>3.4512911676646705</v>
      </c>
      <c r="F52" s="14">
        <f>F34</f>
        <v>3.4512911676646705</v>
      </c>
      <c r="H52" s="25">
        <f>SUM(B52:F52)</f>
        <v>10.353873502994011</v>
      </c>
    </row>
    <row r="53" spans="1:9" ht="15.75" thickBot="1">
      <c r="A53" t="s">
        <v>27</v>
      </c>
      <c r="B53" s="11">
        <f>B9*VLOOKUP(B10,$J$29:$K$32,2,FALSE)</f>
        <v>169000</v>
      </c>
      <c r="D53" s="11">
        <f>D9*VLOOKUP(D10,$J$29:$K$32,2,FALSE)</f>
        <v>182000</v>
      </c>
      <c r="F53" s="11">
        <f>F9*VLOOKUP(F10,$J$29:$K$32,2,TRUE)</f>
        <v>20000</v>
      </c>
      <c r="H53" s="49">
        <f>SUM(B53:F53)</f>
        <v>371000</v>
      </c>
      <c r="I53" t="s">
        <v>32</v>
      </c>
    </row>
    <row r="58" ht="15.75" thickBot="1"/>
    <row r="59" spans="8:10" ht="18.75">
      <c r="H59" s="127" t="s">
        <v>50</v>
      </c>
      <c r="I59" s="128"/>
      <c r="J59" s="129"/>
    </row>
    <row r="60" spans="8:10" ht="15">
      <c r="H60" s="107">
        <f>VLOOKUP(H59,Technologies!$A$2:$F$10,2,FALSE)</f>
        <v>0.00068</v>
      </c>
      <c r="I60" s="108">
        <f>IF(OR(H59=Technologies!$A$6,H59=Technologies!$A$7,H59=Technologies!$A$8,H59=Technologies!$A$14),VLOOKUP(H59,Technologies!$A$2:$C$15,3,FALSE),B5)</f>
        <v>13</v>
      </c>
      <c r="J60" s="109"/>
    </row>
    <row r="61" spans="8:14" ht="15">
      <c r="H61" s="110">
        <f>(1-H60)*H40</f>
        <v>448378.58640303835</v>
      </c>
      <c r="I61" s="122" t="str">
        <f>I40</f>
        <v>Pounds Expended</v>
      </c>
      <c r="J61" s="123"/>
      <c r="N61" t="s">
        <v>169</v>
      </c>
    </row>
    <row r="62" spans="8:15" ht="15">
      <c r="H62" s="111"/>
      <c r="I62" s="108"/>
      <c r="J62" s="109"/>
      <c r="N62" t="s">
        <v>171</v>
      </c>
      <c r="O62" t="s">
        <v>172</v>
      </c>
    </row>
    <row r="63" spans="8:15" ht="15.75" thickBot="1">
      <c r="H63" s="113">
        <f>I60/K13*H61</f>
        <v>863543.9441836294</v>
      </c>
      <c r="I63" s="124" t="str">
        <f>I45</f>
        <v>$ Expended</v>
      </c>
      <c r="J63" s="125"/>
      <c r="M63" t="s">
        <v>80</v>
      </c>
      <c r="N63" s="114">
        <f>H40</f>
        <v>448683.6913131313</v>
      </c>
      <c r="O63" s="51">
        <f>H45</f>
        <v>864131.5536401046</v>
      </c>
    </row>
    <row r="64" spans="13:15" ht="15.75" thickBot="1">
      <c r="M64" t="str">
        <f>H59</f>
        <v>Composite</v>
      </c>
      <c r="N64" s="114">
        <f>H61</f>
        <v>448378.58640303835</v>
      </c>
      <c r="O64" s="51">
        <f>H63</f>
        <v>863543.9441836294</v>
      </c>
    </row>
    <row r="65" spans="8:15" ht="15">
      <c r="H65" s="119" t="str">
        <f>IF(H59=Technologies!$A$3,"Driveshaft Removal Not Applicable","Also Remove Driveshaft")</f>
        <v>Also Remove Driveshaft</v>
      </c>
      <c r="I65" s="120"/>
      <c r="J65" s="121"/>
      <c r="M65" t="s">
        <v>170</v>
      </c>
      <c r="N65" s="114">
        <f>H67</f>
        <v>447256.87717475556</v>
      </c>
      <c r="O65" s="52">
        <f>H69</f>
        <v>861383.6152995292</v>
      </c>
    </row>
    <row r="66" spans="8:10" ht="15">
      <c r="H66" s="107">
        <f>H60+Technologies!$E$18</f>
        <v>0.00318</v>
      </c>
      <c r="I66" s="108">
        <f>I60</f>
        <v>13</v>
      </c>
      <c r="J66" s="109"/>
    </row>
    <row r="67" spans="8:10" ht="15">
      <c r="H67" s="110">
        <f>(1-H66)*H40</f>
        <v>447256.87717475556</v>
      </c>
      <c r="I67" s="122" t="str">
        <f>I40</f>
        <v>Pounds Expended</v>
      </c>
      <c r="J67" s="123"/>
    </row>
    <row r="68" spans="8:10" ht="15">
      <c r="H68" s="111"/>
      <c r="I68" s="108"/>
      <c r="J68" s="109"/>
    </row>
    <row r="69" spans="8:10" ht="15.75" thickBot="1">
      <c r="H69" s="112">
        <f>I60/K13*H67</f>
        <v>861383.6152995292</v>
      </c>
      <c r="I69" s="124" t="str">
        <f>I45</f>
        <v>$ Expended</v>
      </c>
      <c r="J69" s="125"/>
    </row>
  </sheetData>
  <sheetProtection/>
  <mergeCells count="7">
    <mergeCell ref="I69:J69"/>
    <mergeCell ref="A1:Q1"/>
    <mergeCell ref="H59:J59"/>
    <mergeCell ref="I61:J61"/>
    <mergeCell ref="I63:J63"/>
    <mergeCell ref="H65:J65"/>
    <mergeCell ref="I67:J67"/>
  </mergeCells>
  <dataValidations count="5">
    <dataValidation type="list" allowBlank="1" showInputMessage="1" showErrorMessage="1" sqref="H59">
      <formula1>Technologies</formula1>
    </dataValidation>
    <dataValidation type="list" allowBlank="1" showInputMessage="1" showErrorMessage="1" sqref="B16 B26 B10 D16 D26 D10 F16 F26 F10">
      <formula1>Lift</formula1>
    </dataValidation>
    <dataValidation type="list" allowBlank="1" showInputMessage="1" showErrorMessage="1" sqref="D3 B3 F3">
      <formula1>Aircraft_Type</formula1>
    </dataValidation>
    <dataValidation type="list" allowBlank="1" showInputMessage="1" showErrorMessage="1" sqref="D6:D7 B6:B7 F6:F7">
      <formula1>Unit</formula1>
    </dataValidation>
    <dataValidation type="list" allowBlank="1" showInputMessage="1" showErrorMessage="1" sqref="D8 B8 F8">
      <formula1>Location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5"/>
  <sheetViews>
    <sheetView zoomScale="70" zoomScaleNormal="70" zoomScalePageLayoutView="70" workbookViewId="0" topLeftCell="A1">
      <selection activeCell="I14" sqref="I14"/>
    </sheetView>
  </sheetViews>
  <sheetFormatPr defaultColWidth="8.8515625" defaultRowHeight="15"/>
  <cols>
    <col min="1" max="1" width="30.421875" style="0" customWidth="1"/>
    <col min="2" max="2" width="12.421875" style="11" customWidth="1"/>
    <col min="3" max="3" width="7.421875" style="0" customWidth="1"/>
    <col min="4" max="4" width="12.421875" style="11" customWidth="1"/>
    <col min="5" max="5" width="5.421875" style="0" customWidth="1"/>
    <col min="6" max="6" width="12.421875" style="11" customWidth="1"/>
    <col min="7" max="7" width="3.7109375" style="0" customWidth="1"/>
    <col min="8" max="8" width="14.28125" style="23" customWidth="1"/>
    <col min="9" max="9" width="16.7109375" style="0" customWidth="1"/>
    <col min="10" max="10" width="25.140625" style="0" customWidth="1"/>
    <col min="11" max="11" width="10.421875" style="115" customWidth="1"/>
    <col min="12" max="12" width="8.8515625" style="0" customWidth="1"/>
    <col min="13" max="13" width="25.140625" style="0" customWidth="1"/>
    <col min="14" max="14" width="10.421875" style="115" customWidth="1"/>
    <col min="15" max="15" width="8.8515625" style="0" customWidth="1"/>
    <col min="16" max="16" width="25.140625" style="0" customWidth="1"/>
    <col min="17" max="17" width="10.421875" style="115" customWidth="1"/>
  </cols>
  <sheetData>
    <row r="1" spans="1:17" ht="18.75">
      <c r="A1" s="126" t="s">
        <v>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ht="15.75" thickBot="1"/>
    <row r="3" spans="1:17" ht="15.75" thickBot="1">
      <c r="A3" t="s">
        <v>108</v>
      </c>
      <c r="B3" s="100" t="s">
        <v>101</v>
      </c>
      <c r="D3" s="100" t="s">
        <v>85</v>
      </c>
      <c r="F3" s="100" t="s">
        <v>102</v>
      </c>
      <c r="J3" t="s">
        <v>109</v>
      </c>
      <c r="K3" s="115" t="str">
        <f>B3</f>
        <v>UH-60A</v>
      </c>
      <c r="M3" t="s">
        <v>109</v>
      </c>
      <c r="N3" s="115" t="str">
        <f>D3</f>
        <v>UH-60L</v>
      </c>
      <c r="P3" t="s">
        <v>109</v>
      </c>
      <c r="Q3" s="115" t="str">
        <f>F3</f>
        <v>UH-60M</v>
      </c>
    </row>
    <row r="4" spans="10:17" ht="15.75" thickBot="1">
      <c r="J4" s="7" t="s">
        <v>87</v>
      </c>
      <c r="K4" s="56" t="str">
        <f>HLOOKUP(B3,Reference!$B$2:$L$13,2,FALSE)</f>
        <v>Movement/Assault</v>
      </c>
      <c r="M4" s="7" t="s">
        <v>87</v>
      </c>
      <c r="N4" s="56" t="str">
        <f>HLOOKUP($D$3,Reference!$B$2:$L$13,2,FALSE)</f>
        <v>Movement/Assault</v>
      </c>
      <c r="P4" s="7" t="s">
        <v>87</v>
      </c>
      <c r="Q4" s="56" t="str">
        <f>HLOOKUP(F3,Reference!$B$2:$L$13,2,FALSE)</f>
        <v>Movement/Assault</v>
      </c>
    </row>
    <row r="5" spans="1:17" ht="15.75" thickBot="1">
      <c r="A5" t="s">
        <v>137</v>
      </c>
      <c r="B5" s="101">
        <v>13</v>
      </c>
      <c r="D5" s="22">
        <v>13</v>
      </c>
      <c r="F5" s="22">
        <v>13</v>
      </c>
      <c r="J5" s="7" t="s">
        <v>94</v>
      </c>
      <c r="K5" s="8">
        <f>HLOOKUP(B3,Reference!B2:L13,3,FALSE)</f>
        <v>11284</v>
      </c>
      <c r="M5" s="7" t="s">
        <v>94</v>
      </c>
      <c r="N5" s="56">
        <f>HLOOKUP($D$3,Reference!$B$2:$L$13,3,FALSE)</f>
        <v>11516</v>
      </c>
      <c r="P5" s="7" t="s">
        <v>94</v>
      </c>
      <c r="Q5" s="56">
        <f>HLOOKUP(F3,Reference!$B$2:$L$13,3,FALSE)</f>
        <v>0</v>
      </c>
    </row>
    <row r="6" spans="1:17" ht="15.75" thickBot="1">
      <c r="A6" t="s">
        <v>111</v>
      </c>
      <c r="B6" s="12" t="s">
        <v>122</v>
      </c>
      <c r="D6" s="21" t="s">
        <v>122</v>
      </c>
      <c r="F6" s="21" t="s">
        <v>122</v>
      </c>
      <c r="J6" s="7" t="s">
        <v>95</v>
      </c>
      <c r="K6" s="8">
        <f>HLOOKUP(B3,Reference!B2:L13,4,FALSE)</f>
        <v>22000</v>
      </c>
      <c r="M6" s="7" t="s">
        <v>95</v>
      </c>
      <c r="N6" s="56">
        <f>HLOOKUP($D$3,Reference!$B$2:$L$13,4,FALSE)</f>
        <v>0</v>
      </c>
      <c r="P6" s="7" t="s">
        <v>95</v>
      </c>
      <c r="Q6" s="56">
        <f>HLOOKUP(F3,Reference!$B$2:$L$13,4,FALSE)</f>
        <v>0</v>
      </c>
    </row>
    <row r="7" spans="2:17" ht="15.75" thickBot="1">
      <c r="B7" s="13"/>
      <c r="D7" s="13"/>
      <c r="F7" s="13"/>
      <c r="J7" s="7" t="s">
        <v>103</v>
      </c>
      <c r="K7" s="8">
        <f>HLOOKUP(B3,Reference!B2:L13,5,FALSE)</f>
        <v>11</v>
      </c>
      <c r="M7" s="7" t="s">
        <v>103</v>
      </c>
      <c r="N7" s="56">
        <f>HLOOKUP($D$3,Reference!$B$2:$L$13,5,FALSE)</f>
        <v>11</v>
      </c>
      <c r="P7" s="7" t="s">
        <v>103</v>
      </c>
      <c r="Q7" s="56">
        <f>HLOOKUP(F3,Reference!$B$2:$L$13,5,FALSE)</f>
        <v>11</v>
      </c>
    </row>
    <row r="8" spans="1:17" ht="15.75" thickBot="1">
      <c r="A8" t="s">
        <v>124</v>
      </c>
      <c r="B8" s="100" t="s">
        <v>132</v>
      </c>
      <c r="D8" s="100" t="s">
        <v>132</v>
      </c>
      <c r="F8" s="100" t="s">
        <v>132</v>
      </c>
      <c r="J8" s="7" t="s">
        <v>100</v>
      </c>
      <c r="K8" s="8">
        <f>HLOOKUP(B3,Reference!B2:L13,6,FALSE)</f>
        <v>2430</v>
      </c>
      <c r="M8" s="7" t="s">
        <v>100</v>
      </c>
      <c r="N8" s="56">
        <f>HLOOKUP($D$3,Reference!$B$2:$L$13,6,FALSE)</f>
        <v>2430</v>
      </c>
      <c r="P8" s="7" t="s">
        <v>100</v>
      </c>
      <c r="Q8" s="56">
        <f>HLOOKUP(F3,Reference!$B$2:$L$13,6,FALSE)</f>
        <v>2430</v>
      </c>
    </row>
    <row r="9" spans="1:17" ht="15.75" thickBot="1">
      <c r="A9" t="s">
        <v>123</v>
      </c>
      <c r="B9" s="100">
        <v>0</v>
      </c>
      <c r="D9" s="100">
        <v>8</v>
      </c>
      <c r="F9" s="100">
        <v>7</v>
      </c>
      <c r="J9" s="9" t="s">
        <v>106</v>
      </c>
      <c r="K9" s="10">
        <f>HLOOKUP(B3,Reference!B2:L13,7,FALSE)</f>
        <v>2.5</v>
      </c>
      <c r="M9" s="9" t="s">
        <v>106</v>
      </c>
      <c r="N9" s="56">
        <f>HLOOKUP($D$3,Reference!$B$2:$L$13,7,FALSE)</f>
        <v>2.5</v>
      </c>
      <c r="P9" s="9" t="s">
        <v>106</v>
      </c>
      <c r="Q9" s="56">
        <f>HLOOKUP(F3,Reference!$B$2:$L$13,7,FALSE)</f>
        <v>2.5</v>
      </c>
    </row>
    <row r="10" spans="1:17" ht="15.75" thickBot="1">
      <c r="A10" t="s">
        <v>20</v>
      </c>
      <c r="B10" s="100" t="s">
        <v>34</v>
      </c>
      <c r="D10" s="100" t="s">
        <v>91</v>
      </c>
      <c r="F10" s="100" t="s">
        <v>35</v>
      </c>
      <c r="J10" s="9" t="s">
        <v>107</v>
      </c>
      <c r="K10" s="8">
        <f>HLOOKUP(B3,Reference!B2:L13,8,FALSE)</f>
        <v>319</v>
      </c>
      <c r="M10" s="9" t="s">
        <v>107</v>
      </c>
      <c r="N10" s="56">
        <f>HLOOKUP($D$3,Reference!$B$2:$L$13,8,FALSE)</f>
        <v>319</v>
      </c>
      <c r="P10" s="9" t="s">
        <v>107</v>
      </c>
      <c r="Q10" s="56">
        <f>HLOOKUP(F3,Reference!$B$2:$L$13,8,FALSE)</f>
        <v>319</v>
      </c>
    </row>
    <row r="11" spans="1:17" ht="15.75" thickBot="1">
      <c r="A11" t="s">
        <v>38</v>
      </c>
      <c r="B11" s="100">
        <v>370</v>
      </c>
      <c r="D11" s="100">
        <v>370</v>
      </c>
      <c r="F11" s="100">
        <v>370</v>
      </c>
      <c r="J11" s="7" t="s">
        <v>96</v>
      </c>
      <c r="K11" s="8">
        <f>HLOOKUP(B3,Reference!B2:L13,9,FALSE)</f>
        <v>139</v>
      </c>
      <c r="M11" s="7" t="s">
        <v>96</v>
      </c>
      <c r="N11" s="56">
        <f>HLOOKUP($D$3,Reference!$B$2:$L$13,9,FALSE)</f>
        <v>139</v>
      </c>
      <c r="P11" s="7" t="s">
        <v>96</v>
      </c>
      <c r="Q11" s="56">
        <f>HLOOKUP(F3,Reference!$B$2:$L$13,9,FALSE)</f>
        <v>139</v>
      </c>
    </row>
    <row r="12" spans="1:17" ht="15.75" thickBot="1">
      <c r="A12" t="s">
        <v>135</v>
      </c>
      <c r="B12" s="102">
        <v>0.1</v>
      </c>
      <c r="D12" s="102">
        <v>0.1</v>
      </c>
      <c r="F12" s="102">
        <v>0.1</v>
      </c>
      <c r="J12" s="7" t="s">
        <v>97</v>
      </c>
      <c r="K12" s="8">
        <f>HLOOKUP(B3,Reference!B2:L13,10,FALSE)</f>
        <v>1081</v>
      </c>
      <c r="M12" s="7" t="s">
        <v>97</v>
      </c>
      <c r="N12" s="56">
        <f>HLOOKUP($D$3,Reference!$B$2:$L$13,10,FALSE)</f>
        <v>1081</v>
      </c>
      <c r="P12" s="7" t="s">
        <v>97</v>
      </c>
      <c r="Q12" s="56">
        <f>HLOOKUP(F3,Reference!$B$2:$L$13,10,FALSE)</f>
        <v>1152</v>
      </c>
    </row>
    <row r="13" spans="1:17" ht="15.75" thickBot="1">
      <c r="A13" t="s">
        <v>0</v>
      </c>
      <c r="B13" s="100">
        <v>0.5</v>
      </c>
      <c r="D13" s="100">
        <v>0.5</v>
      </c>
      <c r="F13" s="100">
        <v>0.5</v>
      </c>
      <c r="J13" s="7" t="s">
        <v>98</v>
      </c>
      <c r="K13" s="8">
        <f>HLOOKUP(B3,Reference!B2:L13,11,FALSE)</f>
        <v>6.75</v>
      </c>
      <c r="M13" s="7" t="s">
        <v>98</v>
      </c>
      <c r="N13" s="56">
        <f>HLOOKUP($D$3,Reference!$B$2:$L$13,11,FALSE)</f>
        <v>6.75</v>
      </c>
      <c r="P13" s="7" t="s">
        <v>98</v>
      </c>
      <c r="Q13" s="56">
        <f>HLOOKUP(F3,Reference!$B$2:$L$13,11,FALSE)</f>
        <v>6.75</v>
      </c>
    </row>
    <row r="14" spans="2:17" ht="33.75" customHeight="1">
      <c r="B14" s="13"/>
      <c r="D14" s="13"/>
      <c r="F14" s="13"/>
      <c r="J14" s="7" t="s">
        <v>104</v>
      </c>
      <c r="K14" s="8" t="str">
        <f>HLOOKUP(B3,Reference!B2:L13,12,FALSE)</f>
        <v>Sea Level</v>
      </c>
      <c r="M14" s="7" t="s">
        <v>104</v>
      </c>
      <c r="N14" s="56" t="str">
        <f>HLOOKUP($D$3,Reference!$B$2:$L$13,12,FALSE)</f>
        <v>Sea Level</v>
      </c>
      <c r="P14" s="7" t="s">
        <v>104</v>
      </c>
      <c r="Q14" s="56" t="str">
        <f>HLOOKUP(F3,Reference!$B$2:$L$13,12,FALSE)</f>
        <v>Sea Level</v>
      </c>
    </row>
    <row r="15" spans="1:6" ht="15.75" thickBot="1">
      <c r="A15" t="s">
        <v>22</v>
      </c>
      <c r="B15" s="13"/>
      <c r="D15" s="13"/>
      <c r="F15" s="13"/>
    </row>
    <row r="16" spans="1:17" ht="15.75" thickBot="1">
      <c r="A16" s="35" t="s">
        <v>8</v>
      </c>
      <c r="B16" s="36" t="s">
        <v>34</v>
      </c>
      <c r="C16" s="37"/>
      <c r="D16" s="36" t="s">
        <v>7</v>
      </c>
      <c r="E16" s="37"/>
      <c r="F16" s="36" t="s">
        <v>33</v>
      </c>
      <c r="G16" s="37"/>
      <c r="H16" s="38"/>
      <c r="K16"/>
      <c r="N16"/>
      <c r="Q16"/>
    </row>
    <row r="17" spans="1:17" ht="15.75" thickBot="1">
      <c r="A17" s="39" t="s">
        <v>11</v>
      </c>
      <c r="B17" s="36">
        <f>$K$11</f>
        <v>139</v>
      </c>
      <c r="C17" s="40"/>
      <c r="D17" s="36">
        <f>N11</f>
        <v>139</v>
      </c>
      <c r="E17" s="40"/>
      <c r="F17" s="36">
        <f>$K$11</f>
        <v>139</v>
      </c>
      <c r="G17" s="40"/>
      <c r="H17" s="41"/>
      <c r="K17"/>
      <c r="N17"/>
      <c r="Q17"/>
    </row>
    <row r="18" spans="1:17" ht="15">
      <c r="A18" s="39" t="s">
        <v>15</v>
      </c>
      <c r="B18" s="42">
        <f>IF(B$6="Gallons",B$11/B17*$K$12/$K$13,B$11/B17*$K$12)</f>
        <v>2877.482014388489</v>
      </c>
      <c r="C18" s="42"/>
      <c r="D18" s="42">
        <f>IF(D$6="Gallons",D$11/D17*N12/$K$13,D$11/D17*N12)</f>
        <v>2877.482014388489</v>
      </c>
      <c r="E18" s="42"/>
      <c r="F18" s="42">
        <f>IF(F$6="Gallons",F$11/F17*Q12/$K$13,F$11/F17*Q12)</f>
        <v>3066.4748201438847</v>
      </c>
      <c r="G18" s="40"/>
      <c r="H18" s="41"/>
      <c r="K18"/>
      <c r="N18"/>
      <c r="Q18"/>
    </row>
    <row r="19" spans="1:17" ht="15">
      <c r="A19" s="43" t="s">
        <v>112</v>
      </c>
      <c r="B19" s="34">
        <f>IF(B6="Gallons",$K$12/$K$13/B17,$K$12/B17)</f>
        <v>7.776978417266187</v>
      </c>
      <c r="C19" s="34"/>
      <c r="D19" s="34">
        <f>IF(D6="Gallons",N12/$K$13/D17,N12/D17)</f>
        <v>7.776978417266187</v>
      </c>
      <c r="E19" s="34"/>
      <c r="F19" s="34">
        <f>IF(F6="Gallons",Q12/$K$13/F17,Q12/F17)</f>
        <v>8.287769784172662</v>
      </c>
      <c r="G19" s="40"/>
      <c r="H19" s="41"/>
      <c r="K19"/>
      <c r="N19"/>
      <c r="Q19"/>
    </row>
    <row r="20" spans="1:17" ht="15">
      <c r="A20" s="43" t="s">
        <v>113</v>
      </c>
      <c r="B20" s="34">
        <f>$K$12</f>
        <v>1081</v>
      </c>
      <c r="C20" s="34"/>
      <c r="D20" s="34">
        <f>N12</f>
        <v>1081</v>
      </c>
      <c r="E20" s="34"/>
      <c r="F20" s="34">
        <f>Q12</f>
        <v>1152</v>
      </c>
      <c r="G20" s="40"/>
      <c r="H20" s="41"/>
      <c r="K20"/>
      <c r="N20"/>
      <c r="Q20"/>
    </row>
    <row r="21" spans="1:17" ht="15">
      <c r="A21" s="39" t="s">
        <v>16</v>
      </c>
      <c r="B21" s="42">
        <f>B$11/B17</f>
        <v>2.661870503597122</v>
      </c>
      <c r="C21" s="42"/>
      <c r="D21" s="42">
        <f>D$11/D17</f>
        <v>2.661870503597122</v>
      </c>
      <c r="E21" s="42"/>
      <c r="F21" s="42">
        <f>F$11/F17</f>
        <v>2.661870503597122</v>
      </c>
      <c r="G21" s="40"/>
      <c r="H21" s="41"/>
      <c r="K21"/>
      <c r="N21"/>
      <c r="Q21"/>
    </row>
    <row r="22" spans="1:17" ht="15">
      <c r="A22" s="39" t="s">
        <v>138</v>
      </c>
      <c r="B22" s="42">
        <f>IF(B23&gt;($B$21+B30),"N/A",$B$13)</f>
        <v>0.5</v>
      </c>
      <c r="C22" s="42"/>
      <c r="D22" s="42">
        <f>IF(D23&gt;($B$21+D30),"N/A",$B$13)</f>
        <v>0.5</v>
      </c>
      <c r="E22" s="42"/>
      <c r="F22" s="42">
        <f>IF(F23&gt;($B$21+F30),"N/A",$B$13)</f>
        <v>0.5</v>
      </c>
      <c r="G22" s="40"/>
      <c r="H22" s="41"/>
      <c r="K22"/>
      <c r="N22"/>
      <c r="Q22"/>
    </row>
    <row r="23" spans="1:17" ht="15">
      <c r="A23" s="39" t="s">
        <v>120</v>
      </c>
      <c r="B23" s="42">
        <f>$K$8*(1-B12)/$K$12</f>
        <v>2.023126734505088</v>
      </c>
      <c r="C23" s="42"/>
      <c r="D23" s="42">
        <f>$K$8*(1-D12)/N12</f>
        <v>2.023126734505088</v>
      </c>
      <c r="E23" s="42"/>
      <c r="F23" s="42">
        <f>$K$8*(1-F12)/Q12</f>
        <v>1.8984375</v>
      </c>
      <c r="G23" s="40"/>
      <c r="H23" s="41"/>
      <c r="K23"/>
      <c r="N23"/>
      <c r="Q23"/>
    </row>
    <row r="24" spans="1:17" ht="15.75" thickBot="1">
      <c r="A24" s="43"/>
      <c r="B24" s="44"/>
      <c r="C24" s="40"/>
      <c r="D24" s="44"/>
      <c r="E24" s="40"/>
      <c r="F24" s="44"/>
      <c r="G24" s="40"/>
      <c r="H24" s="41"/>
      <c r="K24"/>
      <c r="N24"/>
      <c r="Q24"/>
    </row>
    <row r="25" spans="1:17" ht="15.75" thickBot="1">
      <c r="A25" s="39" t="s">
        <v>9</v>
      </c>
      <c r="B25" s="36" t="s">
        <v>10</v>
      </c>
      <c r="C25" s="40"/>
      <c r="D25" s="36" t="s">
        <v>10</v>
      </c>
      <c r="E25" s="40"/>
      <c r="F25" s="36" t="s">
        <v>10</v>
      </c>
      <c r="G25" s="40"/>
      <c r="H25" s="41"/>
      <c r="K25"/>
      <c r="N25"/>
      <c r="Q25"/>
    </row>
    <row r="26" spans="1:17" ht="15.75" thickBot="1">
      <c r="A26" s="39" t="s">
        <v>12</v>
      </c>
      <c r="B26" s="36">
        <f>$K$11</f>
        <v>139</v>
      </c>
      <c r="C26" s="40"/>
      <c r="D26" s="36">
        <f>$K$11</f>
        <v>139</v>
      </c>
      <c r="E26" s="40"/>
      <c r="F26" s="36">
        <f>$K$11</f>
        <v>139</v>
      </c>
      <c r="G26" s="40"/>
      <c r="H26" s="41"/>
      <c r="K26"/>
      <c r="N26"/>
      <c r="Q26"/>
    </row>
    <row r="27" spans="1:17" ht="15">
      <c r="A27" s="39" t="s">
        <v>17</v>
      </c>
      <c r="B27" s="42">
        <f>IF(B$6="Gallons",B$11/B26*$K$12/$K$13,B$11/B26*$K$12)</f>
        <v>2877.482014388489</v>
      </c>
      <c r="C27" s="42"/>
      <c r="D27" s="42">
        <f>IF(D$6="Gallons",D$11/D26*N12/$K$13,D$11/D26*N12)</f>
        <v>2877.482014388489</v>
      </c>
      <c r="E27" s="42"/>
      <c r="F27" s="42">
        <f>IF(F$6="Gallons",F$11/F26*Q12/$K$13,F$11/F26*Q12)</f>
        <v>3066.4748201438847</v>
      </c>
      <c r="G27" s="40"/>
      <c r="H27" s="41"/>
      <c r="K27"/>
      <c r="N27"/>
      <c r="Q27"/>
    </row>
    <row r="28" spans="1:17" ht="15">
      <c r="A28" s="43" t="s">
        <v>112</v>
      </c>
      <c r="B28" s="34">
        <f>IF(B16="Gallons",$K$12/$K$13/B26,$K$12/B26)</f>
        <v>7.776978417266187</v>
      </c>
      <c r="C28" s="34"/>
      <c r="D28" s="34">
        <f>IF(D16="Gallons",N12/$K$13/D26,N12/D26)</f>
        <v>7.776978417266187</v>
      </c>
      <c r="E28" s="34"/>
      <c r="F28" s="34">
        <f>IF(F16="Gallons",Q12/$K$13/F26,Q12/F26)</f>
        <v>8.287769784172662</v>
      </c>
      <c r="G28" s="40"/>
      <c r="H28" s="41"/>
      <c r="K28"/>
      <c r="N28"/>
      <c r="Q28"/>
    </row>
    <row r="29" spans="1:17" ht="15">
      <c r="A29" s="43" t="s">
        <v>113</v>
      </c>
      <c r="B29" s="34">
        <f>$K$12</f>
        <v>1081</v>
      </c>
      <c r="C29" s="34"/>
      <c r="D29" s="34">
        <f>N12</f>
        <v>1081</v>
      </c>
      <c r="E29" s="34"/>
      <c r="F29" s="34">
        <f>Q12</f>
        <v>1152</v>
      </c>
      <c r="G29" s="40"/>
      <c r="H29" s="41"/>
      <c r="K29"/>
      <c r="N29"/>
      <c r="Q29"/>
    </row>
    <row r="30" spans="1:17" ht="15">
      <c r="A30" s="39" t="s">
        <v>18</v>
      </c>
      <c r="B30" s="42">
        <f>B$11/B26</f>
        <v>2.661870503597122</v>
      </c>
      <c r="C30" s="42"/>
      <c r="D30" s="42">
        <f>D$11/D26</f>
        <v>2.661870503597122</v>
      </c>
      <c r="E30" s="42"/>
      <c r="F30" s="42">
        <f>F$11/F26</f>
        <v>2.661870503597122</v>
      </c>
      <c r="G30" s="40"/>
      <c r="H30" s="41"/>
      <c r="K30"/>
      <c r="N30"/>
      <c r="Q30"/>
    </row>
    <row r="31" spans="1:17" ht="15">
      <c r="A31" s="39" t="s">
        <v>138</v>
      </c>
      <c r="B31" s="42">
        <f>IF(B32&gt;B30,0,B13)</f>
        <v>0.5</v>
      </c>
      <c r="C31" s="42"/>
      <c r="D31" s="42">
        <f>IF(D32&gt;D30,0,D13)</f>
        <v>0.5</v>
      </c>
      <c r="E31" s="42"/>
      <c r="F31" s="42">
        <f>IF(F32&gt;F30,0,F13)</f>
        <v>0.5</v>
      </c>
      <c r="G31" s="40"/>
      <c r="H31" s="41"/>
      <c r="K31"/>
      <c r="N31"/>
      <c r="Q31"/>
    </row>
    <row r="32" spans="1:17" ht="15.75" thickBot="1">
      <c r="A32" s="45" t="s">
        <v>120</v>
      </c>
      <c r="B32" s="46">
        <f>$K$8*(1-B12)/$K$12</f>
        <v>2.023126734505088</v>
      </c>
      <c r="C32" s="46"/>
      <c r="D32" s="46">
        <f>$K$8*(1-D12)/N12</f>
        <v>2.023126734505088</v>
      </c>
      <c r="E32" s="46"/>
      <c r="F32" s="46">
        <f>$K$8*(1-F12)/Q12</f>
        <v>1.8984375</v>
      </c>
      <c r="G32" s="47"/>
      <c r="H32" s="48"/>
      <c r="K32"/>
      <c r="N32"/>
      <c r="Q32"/>
    </row>
    <row r="33" spans="1:6" ht="15">
      <c r="A33" s="6"/>
      <c r="B33" s="13"/>
      <c r="D33" s="13"/>
      <c r="F33" s="13"/>
    </row>
    <row r="34" spans="1:6" ht="15">
      <c r="A34" s="6"/>
      <c r="B34" s="13"/>
      <c r="D34" s="13"/>
      <c r="F34" s="13"/>
    </row>
    <row r="35" spans="1:6" ht="15">
      <c r="A35" s="6"/>
      <c r="B35" s="13"/>
      <c r="D35" s="13"/>
      <c r="F35" s="13"/>
    </row>
    <row r="36" spans="1:6" ht="15.75" thickBot="1">
      <c r="A36" s="6"/>
      <c r="B36" s="13"/>
      <c r="D36" s="13"/>
      <c r="F36" s="13"/>
    </row>
    <row r="37" ht="15.75" thickBot="1">
      <c r="H37" s="24"/>
    </row>
    <row r="38" spans="1:9" ht="15.75" thickBot="1">
      <c r="A38" t="s">
        <v>110</v>
      </c>
      <c r="B38" s="14">
        <f>(B18+B27)*B9</f>
        <v>0</v>
      </c>
      <c r="D38" s="14">
        <f>(D18+D27)*D9</f>
        <v>46039.712230215824</v>
      </c>
      <c r="F38" s="14">
        <f>(F18+F27)*F9</f>
        <v>42930.647482014385</v>
      </c>
      <c r="H38" s="49">
        <f>SUM(B38:F38)</f>
        <v>88970.35971223022</v>
      </c>
      <c r="I38" t="str">
        <f>IF($B$6="Gallons","Gallons Expended","Pounds Expended")</f>
        <v>Pounds Expended</v>
      </c>
    </row>
    <row r="39" spans="1:8" ht="15">
      <c r="A39" s="6" t="s">
        <v>24</v>
      </c>
      <c r="B39" s="18">
        <f>AVERAGE(B19,B28)</f>
        <v>7.776978417266187</v>
      </c>
      <c r="C39" s="17"/>
      <c r="D39" s="18">
        <f>AVERAGE(D19,D28)</f>
        <v>7.776978417266187</v>
      </c>
      <c r="E39" s="17"/>
      <c r="F39" s="18">
        <f>AVERAGE(F19,F28)</f>
        <v>8.287769784172662</v>
      </c>
      <c r="H39" s="26"/>
    </row>
    <row r="40" spans="1:8" ht="15">
      <c r="A40" s="6" t="s">
        <v>25</v>
      </c>
      <c r="B40" s="18">
        <f>AVERAGE(B20,B29)</f>
        <v>1081</v>
      </c>
      <c r="C40" s="19"/>
      <c r="D40" s="18">
        <f>AVERAGE(D20,D29)</f>
        <v>1081</v>
      </c>
      <c r="E40" s="19"/>
      <c r="F40" s="18">
        <f>AVERAGE(F20,F29)</f>
        <v>1152</v>
      </c>
      <c r="H40" s="26"/>
    </row>
    <row r="41" spans="1:8" ht="15">
      <c r="A41" s="6" t="s">
        <v>26</v>
      </c>
      <c r="B41" s="18"/>
      <c r="C41" s="17"/>
      <c r="D41" s="18"/>
      <c r="E41" s="17"/>
      <c r="F41" s="18"/>
      <c r="H41" s="26"/>
    </row>
    <row r="42" ht="15.75" thickBot="1">
      <c r="H42" s="26"/>
    </row>
    <row r="43" spans="1:9" ht="15.75" thickBot="1">
      <c r="A43" t="s">
        <v>115</v>
      </c>
      <c r="B43" s="55">
        <f>IF($B$6="Gallons",B38*$B$5,$B$5/$K$13*B38)</f>
        <v>0</v>
      </c>
      <c r="C43" s="51"/>
      <c r="D43" s="55">
        <f>IF($B$6="Gallons",D38*$B$5,$B$5/$K$13*D38)</f>
        <v>88669.07540634158</v>
      </c>
      <c r="E43" s="51"/>
      <c r="F43" s="55">
        <f>IF($B$6="Gallons",F38*$B$5,$B$5/$K$13*F38)</f>
        <v>82681.24700239807</v>
      </c>
      <c r="H43" s="27">
        <f>SUM(B43:F43)</f>
        <v>171350.32240873965</v>
      </c>
      <c r="I43" t="s">
        <v>2</v>
      </c>
    </row>
    <row r="44" spans="1:8" ht="15">
      <c r="A44" s="6" t="s">
        <v>28</v>
      </c>
      <c r="B44" s="53" t="e">
        <f>B43/(B11*B9)</f>
        <v>#DIV/0!</v>
      </c>
      <c r="C44" s="54"/>
      <c r="D44" s="53">
        <f>D43/(D11*D9)</f>
        <v>29.95576871835864</v>
      </c>
      <c r="E44" s="54"/>
      <c r="F44" s="53">
        <f>F43/(F11*F9)</f>
        <v>31.923261390887287</v>
      </c>
      <c r="H44" s="26"/>
    </row>
    <row r="45" spans="1:8" ht="15">
      <c r="A45" s="6" t="s">
        <v>29</v>
      </c>
      <c r="B45" s="53">
        <f>IF($B$6="Gallons",B40*B5,B40*B5/$K$13)</f>
        <v>2081.925925925926</v>
      </c>
      <c r="C45" s="54"/>
      <c r="D45" s="53">
        <f>IF($B$6="Gallons",D40*D5,D40*D5/$K$13)</f>
        <v>2081.925925925926</v>
      </c>
      <c r="E45" s="54"/>
      <c r="F45" s="53">
        <f>IF($B$6="Gallons",F40*F5,F40*F5/$K$13)</f>
        <v>2218.6666666666665</v>
      </c>
      <c r="H45" s="26"/>
    </row>
    <row r="46" spans="1:8" ht="15">
      <c r="A46" s="6" t="s">
        <v>30</v>
      </c>
      <c r="B46" s="50"/>
      <c r="C46" s="54"/>
      <c r="D46" s="50"/>
      <c r="E46" s="54"/>
      <c r="F46" s="50"/>
      <c r="H46" s="26"/>
    </row>
    <row r="47" ht="15.75" thickBot="1">
      <c r="H47" s="26"/>
    </row>
    <row r="48" spans="1:9" ht="15.75" thickBot="1">
      <c r="A48" t="s">
        <v>119</v>
      </c>
      <c r="B48" s="14">
        <f>B21+B30+B22+B31</f>
        <v>6.323741007194244</v>
      </c>
      <c r="D48" s="14">
        <f>D21+D30+D22+D31</f>
        <v>6.323741007194244</v>
      </c>
      <c r="F48" s="14">
        <f>F21+F30+F22+F31</f>
        <v>6.323741007194244</v>
      </c>
      <c r="H48" s="25">
        <f>SUM(B48:F48)</f>
        <v>18.971223021582734</v>
      </c>
      <c r="I48" t="s">
        <v>3</v>
      </c>
    </row>
    <row r="49" spans="1:9" ht="15.75" thickBot="1">
      <c r="A49" t="s">
        <v>138</v>
      </c>
      <c r="B49" s="14">
        <f>IF(B22="N/A","N/A",B22)</f>
        <v>0.5</v>
      </c>
      <c r="C49" s="15"/>
      <c r="D49" s="14">
        <f>IF(D22="N/A","N/A",D22)</f>
        <v>0.5</v>
      </c>
      <c r="E49" s="15"/>
      <c r="F49" s="14">
        <f>IF(F22="N/A","N/A",F22)</f>
        <v>0.5</v>
      </c>
      <c r="H49" s="25">
        <f>SUM(B49:F49)</f>
        <v>1.5</v>
      </c>
      <c r="I49" t="s">
        <v>4</v>
      </c>
    </row>
    <row r="50" spans="1:8" ht="15.75" thickBot="1">
      <c r="A50" t="s">
        <v>120</v>
      </c>
      <c r="B50" s="14">
        <f>K8*(1-F12)/K12</f>
        <v>2.023126734505088</v>
      </c>
      <c r="D50" s="14">
        <f>D32</f>
        <v>2.023126734505088</v>
      </c>
      <c r="F50" s="14">
        <f>F32</f>
        <v>1.8984375</v>
      </c>
      <c r="H50" s="25">
        <f>SUM(B50:F50)</f>
        <v>5.944690969010176</v>
      </c>
    </row>
    <row r="51" spans="1:9" ht="15.75" thickBot="1">
      <c r="A51" t="s">
        <v>27</v>
      </c>
      <c r="B51" s="11">
        <f>B9*K7</f>
        <v>0</v>
      </c>
      <c r="D51" s="11">
        <f>D9*N7</f>
        <v>88</v>
      </c>
      <c r="F51" s="11">
        <f>F9*Q7</f>
        <v>77</v>
      </c>
      <c r="H51" s="49">
        <f>SUM(B51:F51)</f>
        <v>165</v>
      </c>
      <c r="I51" t="s">
        <v>40</v>
      </c>
    </row>
    <row r="54" ht="15.75" thickBot="1"/>
    <row r="55" spans="8:14" ht="18.75">
      <c r="H55" s="127" t="s">
        <v>144</v>
      </c>
      <c r="I55" s="128"/>
      <c r="J55" s="129"/>
      <c r="N55"/>
    </row>
    <row r="56" spans="8:14" ht="15">
      <c r="H56" s="107">
        <f>VLOOKUP(H55,Technologies!$A$2:$F$10,2,FALSE)</f>
        <v>0.05068</v>
      </c>
      <c r="I56" s="108">
        <f>IF(OR(H55=Technologies!$A$6,H55=Technologies!$A$7,H55=Technologies!$A$8,H55=Technologies!$A$14),VLOOKUP(H55,Technologies!$A$2:$C$15,3,FALSE),$B$5)</f>
        <v>3</v>
      </c>
      <c r="J56" s="109"/>
      <c r="N56"/>
    </row>
    <row r="57" spans="8:14" ht="15">
      <c r="H57" s="110">
        <f>(1-H56)*H38</f>
        <v>84461.34188201439</v>
      </c>
      <c r="I57" s="122" t="str">
        <f>I38</f>
        <v>Pounds Expended</v>
      </c>
      <c r="J57" s="123"/>
      <c r="N57" t="s">
        <v>169</v>
      </c>
    </row>
    <row r="58" spans="8:15" ht="15">
      <c r="H58" s="111"/>
      <c r="I58" s="108"/>
      <c r="J58" s="109"/>
      <c r="N58" t="s">
        <v>171</v>
      </c>
      <c r="O58" t="s">
        <v>172</v>
      </c>
    </row>
    <row r="59" spans="8:15" ht="15.75" thickBot="1">
      <c r="H59" s="113">
        <f>I56/$K$13*H57</f>
        <v>37538.37416978417</v>
      </c>
      <c r="I59" s="124" t="str">
        <f>I43</f>
        <v>$ Expended</v>
      </c>
      <c r="J59" s="125"/>
      <c r="M59" t="s">
        <v>80</v>
      </c>
      <c r="N59" s="114">
        <f>H38</f>
        <v>88970.35971223022</v>
      </c>
      <c r="O59" s="51">
        <f>H43</f>
        <v>171350.32240873965</v>
      </c>
    </row>
    <row r="60" spans="13:15" ht="15.75" thickBot="1">
      <c r="M60" t="str">
        <f>H55</f>
        <v>Algal Biofuel + Composite</v>
      </c>
      <c r="N60" s="114">
        <f>H57</f>
        <v>84461.34188201439</v>
      </c>
      <c r="O60" s="51">
        <f>H59</f>
        <v>37538.37416978417</v>
      </c>
    </row>
    <row r="61" spans="8:15" ht="15">
      <c r="H61" s="119" t="str">
        <f>IF(H55=Technologies!$A$3,"Driveshaft Removal Not Applicable","Also Remove Driveshaft")</f>
        <v>Also Remove Driveshaft</v>
      </c>
      <c r="I61" s="120"/>
      <c r="J61" s="121"/>
      <c r="M61" t="s">
        <v>170</v>
      </c>
      <c r="N61" s="114">
        <f>H63</f>
        <v>84238.91598273382</v>
      </c>
      <c r="O61" s="52">
        <f>H65</f>
        <v>37439.51821454836</v>
      </c>
    </row>
    <row r="62" spans="8:14" ht="15">
      <c r="H62" s="107">
        <f>H56+Technologies!$E$18</f>
        <v>0.053180000000000005</v>
      </c>
      <c r="I62" s="108">
        <f>I56</f>
        <v>3</v>
      </c>
      <c r="J62" s="109"/>
      <c r="N62"/>
    </row>
    <row r="63" spans="8:14" ht="15">
      <c r="H63" s="110">
        <f>(1-H62)*H38</f>
        <v>84238.91598273382</v>
      </c>
      <c r="I63" s="122" t="str">
        <f>I38</f>
        <v>Pounds Expended</v>
      </c>
      <c r="J63" s="123"/>
      <c r="N63"/>
    </row>
    <row r="64" spans="8:14" ht="15">
      <c r="H64" s="111"/>
      <c r="I64" s="108"/>
      <c r="J64" s="109"/>
      <c r="N64"/>
    </row>
    <row r="65" spans="8:14" ht="15.75" thickBot="1">
      <c r="H65" s="113">
        <f>I62/$K$13*H63</f>
        <v>37439.51821454836</v>
      </c>
      <c r="I65" s="124" t="str">
        <f>I43</f>
        <v>$ Expended</v>
      </c>
      <c r="J65" s="125"/>
      <c r="N65"/>
    </row>
  </sheetData>
  <sheetProtection/>
  <mergeCells count="7">
    <mergeCell ref="I65:J65"/>
    <mergeCell ref="A1:Q1"/>
    <mergeCell ref="H55:J55"/>
    <mergeCell ref="I57:J57"/>
    <mergeCell ref="I59:J59"/>
    <mergeCell ref="H61:J61"/>
    <mergeCell ref="I63:J63"/>
  </mergeCells>
  <dataValidations count="5">
    <dataValidation type="list" allowBlank="1" showInputMessage="1" showErrorMessage="1" sqref="H55">
      <formula1>Technologies</formula1>
    </dataValidation>
    <dataValidation type="list" allowBlank="1" showInputMessage="1" showErrorMessage="1" sqref="D8 F8 B8">
      <formula1>Location</formula1>
    </dataValidation>
    <dataValidation type="list" allowBlank="1" showInputMessage="1" showErrorMessage="1" sqref="D6:D7 F6:F7 B6:B7">
      <formula1>Unit</formula1>
    </dataValidation>
    <dataValidation type="list" allowBlank="1" showInputMessage="1" showErrorMessage="1" sqref="D3 F3 B3">
      <formula1>Aircraft_Type</formula1>
    </dataValidation>
    <dataValidation type="list" allowBlank="1" showInputMessage="1" showErrorMessage="1" sqref="F25 B16 F16 D10 F10 D16 B10 B25 D25">
      <formula1>Lift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</dc:creator>
  <cp:keywords/>
  <dc:description/>
  <cp:lastModifiedBy>jkaizar</cp:lastModifiedBy>
  <dcterms:created xsi:type="dcterms:W3CDTF">2011-04-11T22:56:32Z</dcterms:created>
  <dcterms:modified xsi:type="dcterms:W3CDTF">2011-05-05T13:02:51Z</dcterms:modified>
  <cp:category/>
  <cp:version/>
  <cp:contentType/>
  <cp:contentStatus/>
</cp:coreProperties>
</file>